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autoCompressPictures="0" defaultThemeVersion="166925"/>
  <mc:AlternateContent xmlns:mc="http://schemas.openxmlformats.org/markup-compatibility/2006">
    <mc:Choice Requires="x15">
      <x15ac:absPath xmlns:x15ac="http://schemas.microsoft.com/office/spreadsheetml/2010/11/ac" url="/Users/Peter/Desktop/RGDGT/"/>
    </mc:Choice>
  </mc:AlternateContent>
  <xr:revisionPtr revIDLastSave="0" documentId="13_ncr:1_{47E1D121-387F-A94C-9991-2F82CD3E0C94}" xr6:coauthVersionLast="45" xr6:coauthVersionMax="45" xr10:uidLastSave="{00000000-0000-0000-0000-000000000000}"/>
  <bookViews>
    <workbookView xWindow="3020" yWindow="3420" windowWidth="25600" windowHeight="12560" xr2:uid="{00000000-000D-0000-FFFF-FFFF00000000}"/>
  </bookViews>
  <sheets>
    <sheet name="Sheet1" sheetId="19" r:id="rId1"/>
    <sheet name="Summary" sheetId="1" r:id="rId2"/>
    <sheet name="Otway" sheetId="20" r:id="rId3"/>
    <sheet name="Russia" sheetId="16" r:id="rId4"/>
    <sheet name="ACEX" sheetId="2" r:id="rId5"/>
    <sheet name="ODP913" sheetId="17" r:id="rId6"/>
    <sheet name="StoreBaelt" sheetId="7" r:id="rId7"/>
    <sheet name="Fur" sheetId="8" r:id="rId8"/>
    <sheet name="Harrell" sheetId="14" r:id="rId9"/>
    <sheet name="Schoeningen" sheetId="9" r:id="rId10"/>
    <sheet name="Cobham" sheetId="6" r:id="rId11"/>
    <sheet name="Chuckanut" sheetId="12" r:id="rId12"/>
    <sheet name="India" sheetId="11" r:id="rId13"/>
    <sheet name="SaltaBasin" sheetId="18" r:id="rId14"/>
    <sheet name="Mid-Waipara" sheetId="5" r:id="rId15"/>
    <sheet name="Otaio" sheetId="10" r:id="rId16"/>
    <sheet name="U1356_MBT" sheetId="3" r:id="rId17"/>
    <sheet name="U1356_NLR" sheetId="13" r:id="rId18"/>
    <sheet name="ODP 1172" sheetId="4"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M3" i="19" l="1"/>
  <c r="N3" i="19" s="1"/>
  <c r="Q3" i="19"/>
  <c r="R3" i="19"/>
  <c r="U3" i="19"/>
  <c r="M4" i="19"/>
  <c r="N4" i="19" s="1"/>
  <c r="O4" i="19"/>
  <c r="P4" i="19"/>
  <c r="Q4" i="19"/>
  <c r="M5" i="19"/>
  <c r="N5" i="19" s="1"/>
  <c r="Q5" i="19"/>
  <c r="R5" i="19"/>
  <c r="U5" i="19"/>
  <c r="M6" i="19"/>
  <c r="N6" i="19" s="1"/>
  <c r="O6" i="19"/>
  <c r="P6" i="19"/>
  <c r="Q6" i="19"/>
  <c r="R6" i="19"/>
  <c r="U6" i="19"/>
  <c r="M7" i="19"/>
  <c r="N7" i="19" s="1"/>
  <c r="Q7" i="19"/>
  <c r="M8" i="19"/>
  <c r="P8" i="19" s="1"/>
  <c r="O8" i="19"/>
  <c r="Q8" i="19"/>
  <c r="M9" i="19"/>
  <c r="N9" i="19" s="1"/>
  <c r="Q9" i="19"/>
  <c r="M10" i="19"/>
  <c r="P10" i="19" s="1"/>
  <c r="O10" i="19"/>
  <c r="Q10" i="19"/>
  <c r="R10" i="19"/>
  <c r="U10" i="19"/>
  <c r="M11" i="19"/>
  <c r="N11" i="19" s="1"/>
  <c r="Q11" i="19"/>
  <c r="M12" i="19"/>
  <c r="P12" i="19" s="1"/>
  <c r="O12" i="19"/>
  <c r="Q12" i="19"/>
  <c r="M13" i="19"/>
  <c r="N13" i="19" s="1"/>
  <c r="Q13" i="19"/>
  <c r="M14" i="19"/>
  <c r="P14" i="19" s="1"/>
  <c r="O14" i="19"/>
  <c r="Q14" i="19"/>
  <c r="R14" i="19"/>
  <c r="U14" i="19"/>
  <c r="M15" i="19"/>
  <c r="N15" i="19" s="1"/>
  <c r="Q15" i="19"/>
  <c r="R15" i="19"/>
  <c r="U15" i="19"/>
  <c r="M16" i="19"/>
  <c r="P16" i="19" s="1"/>
  <c r="O16" i="19"/>
  <c r="Q16" i="19"/>
  <c r="R16" i="19"/>
  <c r="U16" i="19"/>
  <c r="M17" i="19"/>
  <c r="N17" i="19" s="1"/>
  <c r="Q17" i="19"/>
  <c r="R17" i="19"/>
  <c r="U17" i="19"/>
  <c r="M18" i="19"/>
  <c r="P18" i="19" s="1"/>
  <c r="O18" i="19"/>
  <c r="Q18" i="19"/>
  <c r="R18" i="19"/>
  <c r="U18" i="19"/>
  <c r="V18" i="19"/>
  <c r="M19" i="19"/>
  <c r="N19" i="19" s="1"/>
  <c r="Q19" i="19"/>
  <c r="R19" i="19"/>
  <c r="U19" i="19"/>
  <c r="V19" i="19"/>
  <c r="M20" i="19"/>
  <c r="P20" i="19" s="1"/>
  <c r="O20" i="19"/>
  <c r="Q20" i="19"/>
  <c r="R20" i="19"/>
  <c r="U20" i="19"/>
  <c r="V20" i="19"/>
  <c r="M21" i="19"/>
  <c r="N21" i="19" s="1"/>
  <c r="Q21" i="19"/>
  <c r="R21" i="19"/>
  <c r="U21" i="19"/>
  <c r="V21" i="19"/>
  <c r="M22" i="19"/>
  <c r="P22" i="19" s="1"/>
  <c r="O22" i="19"/>
  <c r="Q22" i="19"/>
  <c r="R22" i="19"/>
  <c r="U22" i="19"/>
  <c r="V22" i="19"/>
  <c r="M23" i="19"/>
  <c r="N23" i="19" s="1"/>
  <c r="Q23" i="19"/>
  <c r="R23" i="19"/>
  <c r="U23" i="19"/>
  <c r="V23" i="19"/>
  <c r="M24" i="19"/>
  <c r="P24" i="19" s="1"/>
  <c r="O24" i="19"/>
  <c r="Q24" i="19"/>
  <c r="R24" i="19"/>
  <c r="U24" i="19"/>
  <c r="V24" i="19"/>
  <c r="M25" i="19"/>
  <c r="N25" i="19" s="1"/>
  <c r="Q25" i="19"/>
  <c r="R25" i="19"/>
  <c r="U25" i="19"/>
  <c r="V25" i="19"/>
  <c r="M26" i="19"/>
  <c r="P26" i="19" s="1"/>
  <c r="O26" i="19"/>
  <c r="Q26" i="19"/>
  <c r="R26" i="19"/>
  <c r="U26" i="19"/>
  <c r="V26" i="19"/>
  <c r="M27" i="19"/>
  <c r="N27" i="19" s="1"/>
  <c r="Q27" i="19"/>
  <c r="R27" i="19"/>
  <c r="U27" i="19"/>
  <c r="V27" i="19"/>
  <c r="M28" i="19"/>
  <c r="P28" i="19" s="1"/>
  <c r="O28" i="19"/>
  <c r="Q28" i="19"/>
  <c r="R28" i="19"/>
  <c r="U28" i="19"/>
  <c r="V28" i="19"/>
  <c r="M29" i="19"/>
  <c r="N29" i="19" s="1"/>
  <c r="Q29" i="19"/>
  <c r="R29" i="19"/>
  <c r="U29" i="19"/>
  <c r="V29" i="19"/>
  <c r="M30" i="19"/>
  <c r="P30" i="19" s="1"/>
  <c r="O30" i="19"/>
  <c r="Q30" i="19"/>
  <c r="R30" i="19"/>
  <c r="U30" i="19"/>
  <c r="V30" i="19"/>
  <c r="M31" i="19"/>
  <c r="N31" i="19" s="1"/>
  <c r="Q31" i="19"/>
  <c r="R31" i="19"/>
  <c r="U31" i="19"/>
  <c r="V31" i="19"/>
  <c r="M32" i="19"/>
  <c r="P32" i="19" s="1"/>
  <c r="O32" i="19"/>
  <c r="Q32" i="19"/>
  <c r="R32" i="19"/>
  <c r="U32" i="19"/>
  <c r="V32" i="19"/>
  <c r="M33" i="19"/>
  <c r="N33" i="19" s="1"/>
  <c r="Q33" i="19"/>
  <c r="R33" i="19"/>
  <c r="U33" i="19"/>
  <c r="V33" i="19"/>
  <c r="M34" i="19"/>
  <c r="P34" i="19" s="1"/>
  <c r="O34" i="19"/>
  <c r="Q34" i="19"/>
  <c r="R34" i="19"/>
  <c r="U34" i="19"/>
  <c r="V34" i="19"/>
  <c r="M35" i="19"/>
  <c r="N35" i="19" s="1"/>
  <c r="Q35" i="19"/>
  <c r="R35" i="19"/>
  <c r="U35" i="19"/>
  <c r="V35" i="19"/>
  <c r="M36" i="19"/>
  <c r="P36" i="19" s="1"/>
  <c r="O36" i="19"/>
  <c r="Q36" i="19"/>
  <c r="R36" i="19"/>
  <c r="U36" i="19"/>
  <c r="V36" i="19"/>
  <c r="M37" i="19"/>
  <c r="N37" i="19" s="1"/>
  <c r="Q37" i="19"/>
  <c r="R37" i="19"/>
  <c r="U37" i="19"/>
  <c r="V37" i="19"/>
  <c r="M38" i="19"/>
  <c r="P38" i="19" s="1"/>
  <c r="O38" i="19"/>
  <c r="Q38" i="19"/>
  <c r="R38" i="19"/>
  <c r="U38" i="19"/>
  <c r="V38" i="19"/>
  <c r="M39" i="19"/>
  <c r="N39" i="19" s="1"/>
  <c r="Q39" i="19"/>
  <c r="R39" i="19"/>
  <c r="U39" i="19"/>
  <c r="V39" i="19"/>
  <c r="M40" i="19"/>
  <c r="P40" i="19" s="1"/>
  <c r="O40" i="19"/>
  <c r="Q40" i="19"/>
  <c r="R40" i="19"/>
  <c r="U40" i="19"/>
  <c r="V40" i="19"/>
  <c r="M41" i="19"/>
  <c r="N41" i="19" s="1"/>
  <c r="Q41" i="19"/>
  <c r="R41" i="19"/>
  <c r="U41" i="19"/>
  <c r="V41" i="19"/>
  <c r="M42" i="19"/>
  <c r="P42" i="19" s="1"/>
  <c r="O42" i="19"/>
  <c r="Q42" i="19"/>
  <c r="R42" i="19"/>
  <c r="U42" i="19"/>
  <c r="V42" i="19"/>
  <c r="M43" i="19"/>
  <c r="N43" i="19" s="1"/>
  <c r="Q43" i="19"/>
  <c r="R43" i="19"/>
  <c r="U43" i="19"/>
  <c r="V43" i="19"/>
  <c r="M44" i="19"/>
  <c r="P44" i="19" s="1"/>
  <c r="O44" i="19"/>
  <c r="Q44" i="19"/>
  <c r="R44" i="19"/>
  <c r="U44" i="19"/>
  <c r="V44" i="19"/>
  <c r="M45" i="19"/>
  <c r="N45" i="19" s="1"/>
  <c r="Q45" i="19"/>
  <c r="R45" i="19"/>
  <c r="U45" i="19"/>
  <c r="V45" i="19"/>
  <c r="M46" i="19"/>
  <c r="P46" i="19" s="1"/>
  <c r="O46" i="19"/>
  <c r="Q46" i="19"/>
  <c r="R46" i="19"/>
  <c r="U46" i="19"/>
  <c r="V46" i="19"/>
  <c r="M47" i="19"/>
  <c r="Q47" i="19"/>
  <c r="R47" i="19"/>
  <c r="U47" i="19"/>
  <c r="V47" i="19"/>
  <c r="M48" i="19"/>
  <c r="P48" i="19" s="1"/>
  <c r="O48" i="19"/>
  <c r="Q48" i="19"/>
  <c r="R48" i="19"/>
  <c r="U48" i="19"/>
  <c r="V48" i="19"/>
  <c r="M49" i="19"/>
  <c r="Q49" i="19"/>
  <c r="R49" i="19"/>
  <c r="U49" i="19"/>
  <c r="M50" i="19"/>
  <c r="P50" i="19" s="1"/>
  <c r="O50" i="19"/>
  <c r="Q50" i="19"/>
  <c r="R50" i="19"/>
  <c r="U50" i="19"/>
  <c r="V50" i="19"/>
  <c r="M51" i="19"/>
  <c r="Q51" i="19"/>
  <c r="R51" i="19"/>
  <c r="U51" i="19"/>
  <c r="V51" i="19"/>
  <c r="M52" i="19"/>
  <c r="P52" i="19" s="1"/>
  <c r="O52" i="19"/>
  <c r="Q52" i="19"/>
  <c r="R52" i="19"/>
  <c r="U52" i="19"/>
  <c r="V52" i="19"/>
  <c r="M53" i="19"/>
  <c r="Q53" i="19"/>
  <c r="R53" i="19"/>
  <c r="U53" i="19"/>
  <c r="V53" i="19"/>
  <c r="M54" i="19"/>
  <c r="P54" i="19" s="1"/>
  <c r="O54" i="19"/>
  <c r="Q54" i="19"/>
  <c r="R54" i="19"/>
  <c r="U54" i="19"/>
  <c r="V54" i="19"/>
  <c r="M55" i="19"/>
  <c r="Q55" i="19"/>
  <c r="R55" i="19"/>
  <c r="U55" i="19"/>
  <c r="V55" i="19"/>
  <c r="M56" i="19"/>
  <c r="P56" i="19" s="1"/>
  <c r="O56" i="19"/>
  <c r="Q56" i="19"/>
  <c r="R56" i="19"/>
  <c r="U56" i="19"/>
  <c r="V56" i="19"/>
  <c r="M57" i="19"/>
  <c r="Q57" i="19"/>
  <c r="R57" i="19"/>
  <c r="U57" i="19"/>
  <c r="V57" i="19"/>
  <c r="M58" i="19"/>
  <c r="P58" i="19" s="1"/>
  <c r="O58" i="19"/>
  <c r="Q58" i="19"/>
  <c r="R58" i="19"/>
  <c r="U58" i="19"/>
  <c r="V58" i="19"/>
  <c r="M59" i="19"/>
  <c r="Q59" i="19"/>
  <c r="R59" i="19"/>
  <c r="U59" i="19"/>
  <c r="V59" i="19"/>
  <c r="M60" i="19"/>
  <c r="P60" i="19" s="1"/>
  <c r="O60" i="19"/>
  <c r="Q60" i="19"/>
  <c r="R60" i="19"/>
  <c r="U60" i="19"/>
  <c r="V60" i="19"/>
  <c r="M61" i="19"/>
  <c r="Q61" i="19"/>
  <c r="R61" i="19"/>
  <c r="U61" i="19"/>
  <c r="V61" i="19"/>
  <c r="M62" i="19"/>
  <c r="P62" i="19" s="1"/>
  <c r="O62" i="19"/>
  <c r="Q62" i="19"/>
  <c r="R62" i="19"/>
  <c r="U62" i="19"/>
  <c r="V62" i="19"/>
  <c r="M63" i="19"/>
  <c r="Q63" i="19"/>
  <c r="R63" i="19"/>
  <c r="U63" i="19"/>
  <c r="V63" i="19"/>
  <c r="M64" i="19"/>
  <c r="P64" i="19" s="1"/>
  <c r="O64" i="19"/>
  <c r="Q64" i="19"/>
  <c r="R64" i="19"/>
  <c r="U64" i="19"/>
  <c r="V64" i="19"/>
  <c r="M65" i="19"/>
  <c r="Q65" i="19"/>
  <c r="R65" i="19"/>
  <c r="U65" i="19"/>
  <c r="V65" i="19"/>
  <c r="M66" i="19"/>
  <c r="P66" i="19" s="1"/>
  <c r="O66" i="19"/>
  <c r="Q66" i="19"/>
  <c r="R66" i="19"/>
  <c r="U66" i="19"/>
  <c r="V66" i="19"/>
  <c r="M67" i="19"/>
  <c r="Q67" i="19"/>
  <c r="R67" i="19"/>
  <c r="U67" i="19"/>
  <c r="V67" i="19"/>
  <c r="M68" i="19"/>
  <c r="P68" i="19" s="1"/>
  <c r="O68" i="19"/>
  <c r="Q68" i="19"/>
  <c r="R68" i="19"/>
  <c r="U68" i="19"/>
  <c r="V68" i="19"/>
  <c r="M69" i="19"/>
  <c r="Q69" i="19"/>
  <c r="R69" i="19"/>
  <c r="U69" i="19"/>
  <c r="V69" i="19"/>
  <c r="M70" i="19"/>
  <c r="P70" i="19" s="1"/>
  <c r="O70" i="19"/>
  <c r="Q70" i="19"/>
  <c r="R70" i="19"/>
  <c r="U70" i="19"/>
  <c r="V70" i="19"/>
  <c r="M71" i="19"/>
  <c r="Q71" i="19"/>
  <c r="R71" i="19"/>
  <c r="U71" i="19"/>
  <c r="V71" i="19"/>
  <c r="M72" i="19"/>
  <c r="P72" i="19" s="1"/>
  <c r="N72" i="19"/>
  <c r="O72" i="19"/>
  <c r="Q72" i="19"/>
  <c r="R72" i="19"/>
  <c r="U72" i="19"/>
  <c r="V72" i="19"/>
  <c r="M73" i="19"/>
  <c r="Q73" i="19"/>
  <c r="R73" i="19"/>
  <c r="U73" i="19"/>
  <c r="V73" i="19"/>
  <c r="M74" i="19"/>
  <c r="P74" i="19" s="1"/>
  <c r="N74" i="19"/>
  <c r="O74" i="19"/>
  <c r="Q74" i="19"/>
  <c r="R74" i="19"/>
  <c r="U74" i="19"/>
  <c r="V74" i="19"/>
  <c r="M75" i="19"/>
  <c r="Q75" i="19"/>
  <c r="R75" i="19"/>
  <c r="U75" i="19"/>
  <c r="V75" i="19"/>
  <c r="M76" i="19"/>
  <c r="P76" i="19" s="1"/>
  <c r="N76" i="19"/>
  <c r="O76" i="19"/>
  <c r="Q76" i="19"/>
  <c r="R76" i="19"/>
  <c r="U76" i="19"/>
  <c r="V76" i="19"/>
  <c r="M77" i="19"/>
  <c r="P77" i="19"/>
  <c r="Q77" i="19"/>
  <c r="R77" i="19"/>
  <c r="U77" i="19"/>
  <c r="V77" i="19"/>
  <c r="M78" i="19"/>
  <c r="P78" i="19" s="1"/>
  <c r="N78" i="19"/>
  <c r="O78" i="19"/>
  <c r="Q78" i="19"/>
  <c r="R78" i="19"/>
  <c r="U78" i="19"/>
  <c r="V78" i="19"/>
  <c r="M79" i="19"/>
  <c r="P79" i="19" s="1"/>
  <c r="Q79" i="19"/>
  <c r="R79" i="19"/>
  <c r="U79" i="19"/>
  <c r="V79" i="19"/>
  <c r="M80" i="19"/>
  <c r="P80" i="19" s="1"/>
  <c r="N80" i="19"/>
  <c r="O80" i="19"/>
  <c r="Q80" i="19"/>
  <c r="R80" i="19"/>
  <c r="U80" i="19"/>
  <c r="V80" i="19"/>
  <c r="M81" i="19"/>
  <c r="P81" i="19" s="1"/>
  <c r="Q81" i="19"/>
  <c r="R81" i="19"/>
  <c r="U81" i="19"/>
  <c r="V81" i="19"/>
  <c r="M82" i="19"/>
  <c r="P82" i="19" s="1"/>
  <c r="N82" i="19"/>
  <c r="O82" i="19"/>
  <c r="Q82" i="19"/>
  <c r="R82" i="19"/>
  <c r="U82" i="19"/>
  <c r="V82" i="19"/>
  <c r="M83" i="19"/>
  <c r="Q83" i="19"/>
  <c r="R83" i="19"/>
  <c r="U83" i="19"/>
  <c r="V83" i="19"/>
  <c r="M84" i="19"/>
  <c r="P84" i="19" s="1"/>
  <c r="N84" i="19"/>
  <c r="O84" i="19"/>
  <c r="Q84" i="19"/>
  <c r="R84" i="19"/>
  <c r="U84" i="19"/>
  <c r="V84" i="19"/>
  <c r="M85" i="19"/>
  <c r="P85" i="19"/>
  <c r="Q85" i="19"/>
  <c r="R85" i="19"/>
  <c r="U85" i="19"/>
  <c r="V85" i="19"/>
  <c r="M86" i="19"/>
  <c r="P86" i="19" s="1"/>
  <c r="N86" i="19"/>
  <c r="O86" i="19"/>
  <c r="Q86" i="19"/>
  <c r="R86" i="19"/>
  <c r="U86" i="19"/>
  <c r="V86" i="19"/>
  <c r="M87" i="19"/>
  <c r="N87" i="19" s="1"/>
  <c r="Q87" i="19"/>
  <c r="R87" i="19"/>
  <c r="U87" i="19"/>
  <c r="V87" i="19"/>
  <c r="M88" i="19"/>
  <c r="P88" i="19" s="1"/>
  <c r="Q88" i="19"/>
  <c r="R88" i="19"/>
  <c r="U88" i="19"/>
  <c r="V88" i="19"/>
  <c r="M89" i="19"/>
  <c r="N89" i="19" s="1"/>
  <c r="O89" i="19"/>
  <c r="P89" i="19"/>
  <c r="Q89" i="19"/>
  <c r="R89" i="19"/>
  <c r="U89" i="19"/>
  <c r="V89" i="19"/>
  <c r="M90" i="19"/>
  <c r="P90" i="19" s="1"/>
  <c r="N90" i="19"/>
  <c r="O90" i="19"/>
  <c r="Q90" i="19"/>
  <c r="R90" i="19"/>
  <c r="U90" i="19"/>
  <c r="V90" i="19"/>
  <c r="M91" i="19"/>
  <c r="O91" i="19" s="1"/>
  <c r="P91" i="19"/>
  <c r="Q91" i="19"/>
  <c r="R91" i="19"/>
  <c r="U91" i="19"/>
  <c r="V91" i="19"/>
  <c r="M92" i="19"/>
  <c r="P92" i="19" s="1"/>
  <c r="N92" i="19"/>
  <c r="O92" i="19"/>
  <c r="Q92" i="19"/>
  <c r="R92" i="19"/>
  <c r="U92" i="19"/>
  <c r="V92" i="19"/>
  <c r="M93" i="19"/>
  <c r="O93" i="19" s="1"/>
  <c r="P93" i="19"/>
  <c r="Q93" i="19"/>
  <c r="R93" i="19"/>
  <c r="U93" i="19"/>
  <c r="V93" i="19"/>
  <c r="M94" i="19"/>
  <c r="P94" i="19" s="1"/>
  <c r="N94" i="19"/>
  <c r="O94" i="19"/>
  <c r="Q94" i="19"/>
  <c r="R94" i="19"/>
  <c r="U94" i="19"/>
  <c r="V94" i="19"/>
  <c r="M95" i="19"/>
  <c r="O95" i="19" s="1"/>
  <c r="P95" i="19"/>
  <c r="Q95" i="19"/>
  <c r="R95" i="19"/>
  <c r="U95" i="19"/>
  <c r="V95" i="19"/>
  <c r="M96" i="19"/>
  <c r="P96" i="19" s="1"/>
  <c r="N96" i="19"/>
  <c r="O96" i="19"/>
  <c r="Q96" i="19"/>
  <c r="R96" i="19"/>
  <c r="U96" i="19"/>
  <c r="V96" i="19"/>
  <c r="M97" i="19"/>
  <c r="O97" i="19" s="1"/>
  <c r="P97" i="19"/>
  <c r="Q97" i="19"/>
  <c r="R97" i="19"/>
  <c r="U97" i="19"/>
  <c r="V97" i="19"/>
  <c r="M98" i="19"/>
  <c r="P98" i="19" s="1"/>
  <c r="N98" i="19"/>
  <c r="O98" i="19"/>
  <c r="Q98" i="19"/>
  <c r="R98" i="19"/>
  <c r="U98" i="19"/>
  <c r="V98" i="19"/>
  <c r="M99" i="19"/>
  <c r="O99" i="19" s="1"/>
  <c r="P99" i="19"/>
  <c r="Q99" i="19"/>
  <c r="R99" i="19"/>
  <c r="U99" i="19"/>
  <c r="V99" i="19"/>
  <c r="M100" i="19"/>
  <c r="P100" i="19" s="1"/>
  <c r="N100" i="19"/>
  <c r="O100" i="19"/>
  <c r="Q100" i="19"/>
  <c r="R100" i="19"/>
  <c r="U100" i="19"/>
  <c r="V100" i="19"/>
  <c r="M101" i="19"/>
  <c r="O101" i="19" s="1"/>
  <c r="P101" i="19"/>
  <c r="Q101" i="19"/>
  <c r="R101" i="19"/>
  <c r="U101" i="19"/>
  <c r="V101" i="19"/>
  <c r="M102" i="19"/>
  <c r="P102" i="19" s="1"/>
  <c r="N102" i="19"/>
  <c r="O102" i="19"/>
  <c r="Q102" i="19"/>
  <c r="R102" i="19"/>
  <c r="U102" i="19"/>
  <c r="V102" i="19"/>
  <c r="M103" i="19"/>
  <c r="O103" i="19" s="1"/>
  <c r="P103" i="19"/>
  <c r="Q103" i="19"/>
  <c r="R103" i="19"/>
  <c r="U103" i="19"/>
  <c r="V103" i="19"/>
  <c r="M104" i="19"/>
  <c r="P104" i="19" s="1"/>
  <c r="N104" i="19"/>
  <c r="O104" i="19"/>
  <c r="Q104" i="19"/>
  <c r="R104" i="19"/>
  <c r="U104" i="19"/>
  <c r="V104" i="19"/>
  <c r="M105" i="19"/>
  <c r="O105" i="19" s="1"/>
  <c r="P105" i="19"/>
  <c r="Q105" i="19"/>
  <c r="R105" i="19"/>
  <c r="U105" i="19"/>
  <c r="V105" i="19"/>
  <c r="M106" i="19"/>
  <c r="P106" i="19" s="1"/>
  <c r="N106" i="19"/>
  <c r="O106" i="19"/>
  <c r="Q106" i="19"/>
  <c r="R106" i="19"/>
  <c r="U106" i="19"/>
  <c r="V106" i="19"/>
  <c r="M107" i="19"/>
  <c r="O107" i="19" s="1"/>
  <c r="P107" i="19"/>
  <c r="Q107" i="19"/>
  <c r="R107" i="19"/>
  <c r="U107" i="19"/>
  <c r="V107" i="19"/>
  <c r="M108" i="19"/>
  <c r="P108" i="19" s="1"/>
  <c r="N108" i="19"/>
  <c r="O108" i="19"/>
  <c r="Q108" i="19"/>
  <c r="R108" i="19"/>
  <c r="U108" i="19"/>
  <c r="V108" i="19"/>
  <c r="M109" i="19"/>
  <c r="O109" i="19" s="1"/>
  <c r="P109" i="19"/>
  <c r="Q109" i="19"/>
  <c r="R109" i="19"/>
  <c r="U109" i="19"/>
  <c r="V109" i="19"/>
  <c r="M110" i="19"/>
  <c r="P110" i="19" s="1"/>
  <c r="N110" i="19"/>
  <c r="O110" i="19"/>
  <c r="Q110" i="19"/>
  <c r="R110" i="19"/>
  <c r="U110" i="19"/>
  <c r="V110" i="19"/>
  <c r="M111" i="19"/>
  <c r="O111" i="19" s="1"/>
  <c r="P111" i="19"/>
  <c r="Q111" i="19"/>
  <c r="R111" i="19"/>
  <c r="U111" i="19"/>
  <c r="V111" i="19"/>
  <c r="M112" i="19"/>
  <c r="P112" i="19" s="1"/>
  <c r="N112" i="19"/>
  <c r="O112" i="19"/>
  <c r="Q112" i="19"/>
  <c r="R112" i="19"/>
  <c r="U112" i="19"/>
  <c r="V112" i="19"/>
  <c r="M113" i="19"/>
  <c r="O113" i="19" s="1"/>
  <c r="P113" i="19"/>
  <c r="Q113" i="19"/>
  <c r="R113" i="19"/>
  <c r="U113" i="19"/>
  <c r="V113" i="19"/>
  <c r="M114" i="19"/>
  <c r="P114" i="19" s="1"/>
  <c r="N114" i="19"/>
  <c r="O114" i="19"/>
  <c r="Q114" i="19"/>
  <c r="R114" i="19"/>
  <c r="U114" i="19"/>
  <c r="V114" i="19"/>
  <c r="M115" i="19"/>
  <c r="O115" i="19" s="1"/>
  <c r="P115" i="19"/>
  <c r="Q115" i="19"/>
  <c r="R115" i="19"/>
  <c r="U115" i="19"/>
  <c r="V115" i="19"/>
  <c r="M116" i="19"/>
  <c r="P116" i="19" s="1"/>
  <c r="N116" i="19"/>
  <c r="O116" i="19"/>
  <c r="Q116" i="19"/>
  <c r="R116" i="19"/>
  <c r="U116" i="19"/>
  <c r="V116" i="19"/>
  <c r="M117" i="19"/>
  <c r="O117" i="19" s="1"/>
  <c r="P117" i="19"/>
  <c r="Q117" i="19"/>
  <c r="R117" i="19"/>
  <c r="U117" i="19"/>
  <c r="V117" i="19"/>
  <c r="M118" i="19"/>
  <c r="N118" i="19"/>
  <c r="O118" i="19"/>
  <c r="P118" i="19"/>
  <c r="Q118" i="19"/>
  <c r="R118" i="19"/>
  <c r="U118" i="19"/>
  <c r="V118" i="19"/>
  <c r="M119" i="19"/>
  <c r="O119" i="19" s="1"/>
  <c r="P119" i="19"/>
  <c r="Q119" i="19"/>
  <c r="R119" i="19"/>
  <c r="U119" i="19"/>
  <c r="V119" i="19"/>
  <c r="M120" i="19"/>
  <c r="N120" i="19"/>
  <c r="O120" i="19"/>
  <c r="P120" i="19"/>
  <c r="Q120" i="19"/>
  <c r="R120" i="19"/>
  <c r="U120" i="19"/>
  <c r="V120" i="19"/>
  <c r="M121" i="19"/>
  <c r="O121" i="19" s="1"/>
  <c r="P121" i="19"/>
  <c r="Q121" i="19"/>
  <c r="R121" i="19"/>
  <c r="U121" i="19"/>
  <c r="V121" i="19"/>
  <c r="M122" i="19"/>
  <c r="N122" i="19"/>
  <c r="O122" i="19"/>
  <c r="P122" i="19"/>
  <c r="Q122" i="19"/>
  <c r="R122" i="19"/>
  <c r="U122" i="19"/>
  <c r="V122" i="19"/>
  <c r="M123" i="19"/>
  <c r="O123" i="19" s="1"/>
  <c r="P123" i="19"/>
  <c r="Q123" i="19"/>
  <c r="R123" i="19"/>
  <c r="U123" i="19"/>
  <c r="V123" i="19"/>
  <c r="M124" i="19"/>
  <c r="N124" i="19"/>
  <c r="O124" i="19"/>
  <c r="P124" i="19"/>
  <c r="Q124" i="19"/>
  <c r="R124" i="19"/>
  <c r="U124" i="19"/>
  <c r="V124" i="19"/>
  <c r="M125" i="19"/>
  <c r="O125" i="19" s="1"/>
  <c r="P125" i="19"/>
  <c r="Q125" i="19"/>
  <c r="R125" i="19"/>
  <c r="U125" i="19"/>
  <c r="V125" i="19"/>
  <c r="M126" i="19"/>
  <c r="N126" i="19"/>
  <c r="O126" i="19"/>
  <c r="P126" i="19"/>
  <c r="Q126" i="19"/>
  <c r="R126" i="19"/>
  <c r="U126" i="19"/>
  <c r="V126" i="19"/>
  <c r="M127" i="19"/>
  <c r="O127" i="19" s="1"/>
  <c r="P127" i="19"/>
  <c r="Q127" i="19"/>
  <c r="R127" i="19"/>
  <c r="U127" i="19"/>
  <c r="V127" i="19"/>
  <c r="M128" i="19"/>
  <c r="N128" i="19"/>
  <c r="O128" i="19"/>
  <c r="P128" i="19"/>
  <c r="Q128" i="19"/>
  <c r="R128" i="19"/>
  <c r="U128" i="19"/>
  <c r="V128" i="19"/>
  <c r="M129" i="19"/>
  <c r="O129" i="19" s="1"/>
  <c r="P129" i="19"/>
  <c r="Q129" i="19"/>
  <c r="R129" i="19"/>
  <c r="U129" i="19"/>
  <c r="V129" i="19"/>
  <c r="M130" i="19"/>
  <c r="N130" i="19"/>
  <c r="O130" i="19"/>
  <c r="P130" i="19"/>
  <c r="Q130" i="19"/>
  <c r="R130" i="19"/>
  <c r="U130" i="19"/>
  <c r="V130" i="19"/>
  <c r="M131" i="19"/>
  <c r="O131" i="19" s="1"/>
  <c r="P131" i="19"/>
  <c r="Q131" i="19"/>
  <c r="R131" i="19"/>
  <c r="U131" i="19"/>
  <c r="V131" i="19"/>
  <c r="M132" i="19"/>
  <c r="N132" i="19"/>
  <c r="O132" i="19"/>
  <c r="P132" i="19"/>
  <c r="Q132" i="19"/>
  <c r="R132" i="19"/>
  <c r="U132" i="19"/>
  <c r="V132" i="19"/>
  <c r="M133" i="19"/>
  <c r="O133" i="19" s="1"/>
  <c r="P133" i="19"/>
  <c r="Q133" i="19"/>
  <c r="R133" i="19"/>
  <c r="U133" i="19"/>
  <c r="V133" i="19"/>
  <c r="M134" i="19"/>
  <c r="N134" i="19"/>
  <c r="O134" i="19"/>
  <c r="P134" i="19"/>
  <c r="Q134" i="19"/>
  <c r="R134" i="19"/>
  <c r="U134" i="19"/>
  <c r="V134" i="19"/>
  <c r="M135" i="19"/>
  <c r="O135" i="19" s="1"/>
  <c r="P135" i="19"/>
  <c r="Q135" i="19"/>
  <c r="R135" i="19"/>
  <c r="U135" i="19"/>
  <c r="V135" i="19"/>
  <c r="M136" i="19"/>
  <c r="N136" i="19"/>
  <c r="O136" i="19"/>
  <c r="P136" i="19"/>
  <c r="Q136" i="19"/>
  <c r="R136" i="19"/>
  <c r="U136" i="19"/>
  <c r="V136" i="19"/>
  <c r="M137" i="19"/>
  <c r="O137" i="19" s="1"/>
  <c r="P137" i="19"/>
  <c r="Q137" i="19"/>
  <c r="R137" i="19"/>
  <c r="U137" i="19"/>
  <c r="V137" i="19"/>
  <c r="M138" i="19"/>
  <c r="N138" i="19"/>
  <c r="O138" i="19"/>
  <c r="P138" i="19"/>
  <c r="Q138" i="19"/>
  <c r="R138" i="19"/>
  <c r="U138" i="19"/>
  <c r="V138" i="19"/>
  <c r="M139" i="19"/>
  <c r="O139" i="19" s="1"/>
  <c r="P139" i="19"/>
  <c r="Q139" i="19"/>
  <c r="R139" i="19"/>
  <c r="U139" i="19"/>
  <c r="V139" i="19"/>
  <c r="M140" i="19"/>
  <c r="N140" i="19"/>
  <c r="O140" i="19"/>
  <c r="P140" i="19"/>
  <c r="Q140" i="19"/>
  <c r="R140" i="19"/>
  <c r="U140" i="19"/>
  <c r="V140" i="19"/>
  <c r="M141" i="19"/>
  <c r="O141" i="19" s="1"/>
  <c r="P141" i="19"/>
  <c r="Q141" i="19"/>
  <c r="R141" i="19"/>
  <c r="U141" i="19"/>
  <c r="V141" i="19"/>
  <c r="M142" i="19"/>
  <c r="N142" i="19"/>
  <c r="O142" i="19"/>
  <c r="P142" i="19"/>
  <c r="Q142" i="19"/>
  <c r="R142" i="19"/>
  <c r="U142" i="19"/>
  <c r="V142" i="19"/>
  <c r="M143" i="19"/>
  <c r="O143" i="19" s="1"/>
  <c r="P143" i="19"/>
  <c r="Q143" i="19"/>
  <c r="R143" i="19"/>
  <c r="U143" i="19"/>
  <c r="V143" i="19"/>
  <c r="M144" i="19"/>
  <c r="N144" i="19"/>
  <c r="O144" i="19"/>
  <c r="P144" i="19"/>
  <c r="Q144" i="19"/>
  <c r="R144" i="19"/>
  <c r="U144" i="19"/>
  <c r="V144" i="19"/>
  <c r="M145" i="19"/>
  <c r="O145" i="19" s="1"/>
  <c r="P145" i="19"/>
  <c r="Q145" i="19"/>
  <c r="R145" i="19"/>
  <c r="U145" i="19"/>
  <c r="V145" i="19"/>
  <c r="M146" i="19"/>
  <c r="N146" i="19"/>
  <c r="O146" i="19"/>
  <c r="P146" i="19"/>
  <c r="Q146" i="19"/>
  <c r="R146" i="19"/>
  <c r="U146" i="19"/>
  <c r="V146" i="19"/>
  <c r="M147" i="19"/>
  <c r="O147" i="19" s="1"/>
  <c r="P147" i="19"/>
  <c r="Q147" i="19"/>
  <c r="R147" i="19"/>
  <c r="U147" i="19"/>
  <c r="V147" i="19"/>
  <c r="M148" i="19"/>
  <c r="N148" i="19"/>
  <c r="O148" i="19"/>
  <c r="P148" i="19"/>
  <c r="Q148" i="19"/>
  <c r="R148" i="19"/>
  <c r="U148" i="19"/>
  <c r="V148" i="19"/>
  <c r="M149" i="19"/>
  <c r="O149" i="19" s="1"/>
  <c r="P149" i="19"/>
  <c r="Q149" i="19"/>
  <c r="R149" i="19"/>
  <c r="U149" i="19"/>
  <c r="V149" i="19"/>
  <c r="M150" i="19"/>
  <c r="N150" i="19"/>
  <c r="O150" i="19"/>
  <c r="P150" i="19"/>
  <c r="Q150" i="19"/>
  <c r="R150" i="19"/>
  <c r="U150" i="19"/>
  <c r="V150" i="19"/>
  <c r="M151" i="19"/>
  <c r="O151" i="19" s="1"/>
  <c r="P151" i="19"/>
  <c r="Q151" i="19"/>
  <c r="R151" i="19"/>
  <c r="U151" i="19"/>
  <c r="V151" i="19"/>
  <c r="M152" i="19"/>
  <c r="N152" i="19"/>
  <c r="O152" i="19"/>
  <c r="P152" i="19"/>
  <c r="Q152" i="19"/>
  <c r="R152" i="19"/>
  <c r="U152" i="19"/>
  <c r="V152" i="19"/>
  <c r="M153" i="19"/>
  <c r="O153" i="19" s="1"/>
  <c r="P153" i="19"/>
  <c r="Q153" i="19"/>
  <c r="R153" i="19"/>
  <c r="U153" i="19"/>
  <c r="V153" i="19"/>
  <c r="M154" i="19"/>
  <c r="N154" i="19"/>
  <c r="O154" i="19"/>
  <c r="P154" i="19"/>
  <c r="Q154" i="19"/>
  <c r="R154" i="19"/>
  <c r="U154" i="19"/>
  <c r="V154" i="19"/>
  <c r="M155" i="19"/>
  <c r="O155" i="19" s="1"/>
  <c r="P155" i="19"/>
  <c r="Q155" i="19"/>
  <c r="R155" i="19"/>
  <c r="U155" i="19"/>
  <c r="V155" i="19"/>
  <c r="M156" i="19"/>
  <c r="N156" i="19"/>
  <c r="O156" i="19"/>
  <c r="P156" i="19"/>
  <c r="Q156" i="19"/>
  <c r="R156" i="19"/>
  <c r="U156" i="19"/>
  <c r="V156" i="19"/>
  <c r="M157" i="19"/>
  <c r="O157" i="19" s="1"/>
  <c r="P157" i="19"/>
  <c r="Q157" i="19"/>
  <c r="R157" i="19"/>
  <c r="U157" i="19"/>
  <c r="V157" i="19"/>
  <c r="M158" i="19"/>
  <c r="N158" i="19"/>
  <c r="O158" i="19"/>
  <c r="P158" i="19"/>
  <c r="Q158" i="19"/>
  <c r="R158" i="19"/>
  <c r="U158" i="19"/>
  <c r="V158" i="19"/>
  <c r="M159" i="19"/>
  <c r="O159" i="19" s="1"/>
  <c r="P159" i="19"/>
  <c r="Q159" i="19"/>
  <c r="R159" i="19"/>
  <c r="U159" i="19"/>
  <c r="V159" i="19"/>
  <c r="M160" i="19"/>
  <c r="N160" i="19"/>
  <c r="O160" i="19"/>
  <c r="P160" i="19"/>
  <c r="Q160" i="19"/>
  <c r="R160" i="19"/>
  <c r="U160" i="19"/>
  <c r="V160" i="19"/>
  <c r="M161" i="19"/>
  <c r="O161" i="19" s="1"/>
  <c r="P161" i="19"/>
  <c r="Q161" i="19"/>
  <c r="R161" i="19"/>
  <c r="U161" i="19"/>
  <c r="V161" i="19"/>
  <c r="M162" i="19"/>
  <c r="N162" i="19"/>
  <c r="O162" i="19"/>
  <c r="P162" i="19"/>
  <c r="Q162" i="19"/>
  <c r="R162" i="19"/>
  <c r="U162" i="19"/>
  <c r="V162" i="19"/>
  <c r="M163" i="19"/>
  <c r="O163" i="19" s="1"/>
  <c r="P163" i="19"/>
  <c r="Q163" i="19"/>
  <c r="R163" i="19"/>
  <c r="U163" i="19"/>
  <c r="V163" i="19"/>
  <c r="M164" i="19"/>
  <c r="N164" i="19"/>
  <c r="O164" i="19"/>
  <c r="P164" i="19"/>
  <c r="Q164" i="19"/>
  <c r="R164" i="19"/>
  <c r="U164" i="19"/>
  <c r="V164" i="19"/>
  <c r="M165" i="19"/>
  <c r="O165" i="19" s="1"/>
  <c r="P165" i="19"/>
  <c r="Q165" i="19"/>
  <c r="R165" i="19"/>
  <c r="U165" i="19"/>
  <c r="V165" i="19"/>
  <c r="M166" i="19"/>
  <c r="N166" i="19"/>
  <c r="O166" i="19"/>
  <c r="P166" i="19"/>
  <c r="Q166" i="19"/>
  <c r="R166" i="19"/>
  <c r="U166" i="19"/>
  <c r="V166" i="19"/>
  <c r="M167" i="19"/>
  <c r="O167" i="19" s="1"/>
  <c r="P167" i="19"/>
  <c r="Q167" i="19"/>
  <c r="R167" i="19"/>
  <c r="U167" i="19"/>
  <c r="V167" i="19"/>
  <c r="M168" i="19"/>
  <c r="N168" i="19"/>
  <c r="O168" i="19"/>
  <c r="P168" i="19"/>
  <c r="Q168" i="19"/>
  <c r="R168" i="19"/>
  <c r="U168" i="19"/>
  <c r="V168" i="19"/>
  <c r="M169" i="19"/>
  <c r="O169" i="19" s="1"/>
  <c r="P169" i="19"/>
  <c r="Q169" i="19"/>
  <c r="R169" i="19"/>
  <c r="U169" i="19"/>
  <c r="V169" i="19"/>
  <c r="M170" i="19"/>
  <c r="P170" i="19" s="1"/>
  <c r="N170" i="19"/>
  <c r="O170" i="19"/>
  <c r="Q170" i="19"/>
  <c r="R170" i="19"/>
  <c r="U170" i="19"/>
  <c r="V170" i="19"/>
  <c r="M171" i="19"/>
  <c r="O171" i="19" s="1"/>
  <c r="P171" i="19"/>
  <c r="Q171" i="19"/>
  <c r="R171" i="19"/>
  <c r="S171" i="19"/>
  <c r="T171" i="19"/>
  <c r="U171" i="19"/>
  <c r="V171" i="19"/>
  <c r="M172" i="19"/>
  <c r="P172" i="19" s="1"/>
  <c r="N172" i="19"/>
  <c r="O172" i="19"/>
  <c r="Q172" i="19"/>
  <c r="R172" i="19"/>
  <c r="S172" i="19"/>
  <c r="T172" i="19"/>
  <c r="U172" i="19"/>
  <c r="V172" i="19"/>
  <c r="M173" i="19"/>
  <c r="O173" i="19" s="1"/>
  <c r="P173" i="19"/>
  <c r="Q173" i="19"/>
  <c r="R173" i="19"/>
  <c r="S173" i="19"/>
  <c r="T173" i="19"/>
  <c r="U173" i="19"/>
  <c r="V173" i="19"/>
  <c r="M174" i="19"/>
  <c r="P174" i="19" s="1"/>
  <c r="N174" i="19"/>
  <c r="O174" i="19"/>
  <c r="Q174" i="19"/>
  <c r="R174" i="19"/>
  <c r="S174" i="19"/>
  <c r="T174" i="19"/>
  <c r="U174" i="19"/>
  <c r="V174" i="19"/>
  <c r="M175" i="19"/>
  <c r="O175" i="19" s="1"/>
  <c r="P175" i="19"/>
  <c r="Q175" i="19"/>
  <c r="R175" i="19"/>
  <c r="S175" i="19"/>
  <c r="T175" i="19"/>
  <c r="U175" i="19"/>
  <c r="V175" i="19"/>
  <c r="M176" i="19"/>
  <c r="P176" i="19" s="1"/>
  <c r="N176" i="19"/>
  <c r="O176" i="19"/>
  <c r="Q176" i="19"/>
  <c r="R176" i="19"/>
  <c r="S176" i="19"/>
  <c r="T176" i="19"/>
  <c r="U176" i="19"/>
  <c r="V176" i="19"/>
  <c r="M177" i="19"/>
  <c r="O177" i="19" s="1"/>
  <c r="P177" i="19"/>
  <c r="Q177" i="19"/>
  <c r="R177" i="19"/>
  <c r="S177" i="19"/>
  <c r="T177" i="19"/>
  <c r="U177" i="19"/>
  <c r="V177" i="19"/>
  <c r="M178" i="19"/>
  <c r="P178" i="19" s="1"/>
  <c r="N178" i="19"/>
  <c r="O178" i="19"/>
  <c r="Q178" i="19"/>
  <c r="R178" i="19"/>
  <c r="S178" i="19"/>
  <c r="T178" i="19"/>
  <c r="U178" i="19"/>
  <c r="V178" i="19"/>
  <c r="M179" i="19"/>
  <c r="O179" i="19" s="1"/>
  <c r="P179" i="19"/>
  <c r="Q179" i="19"/>
  <c r="R179" i="19"/>
  <c r="S179" i="19"/>
  <c r="T179" i="19"/>
  <c r="U179" i="19"/>
  <c r="V179" i="19"/>
  <c r="M180" i="19"/>
  <c r="N180" i="19"/>
  <c r="O180" i="19"/>
  <c r="P180" i="19"/>
  <c r="Q180" i="19"/>
  <c r="R180" i="19"/>
  <c r="S180" i="19"/>
  <c r="T180" i="19"/>
  <c r="U180" i="19"/>
  <c r="V180" i="19"/>
  <c r="M181" i="19"/>
  <c r="O181" i="19" s="1"/>
  <c r="P181" i="19"/>
  <c r="Q181" i="19"/>
  <c r="R181" i="19"/>
  <c r="S181" i="19"/>
  <c r="T181" i="19"/>
  <c r="U181" i="19"/>
  <c r="V181" i="19"/>
  <c r="M182" i="19"/>
  <c r="N182" i="19"/>
  <c r="O182" i="19"/>
  <c r="P182" i="19"/>
  <c r="Q182" i="19"/>
  <c r="R182" i="19"/>
  <c r="S182" i="19"/>
  <c r="T182" i="19"/>
  <c r="U182" i="19"/>
  <c r="V182" i="19"/>
  <c r="M183" i="19"/>
  <c r="O183" i="19" s="1"/>
  <c r="P183" i="19"/>
  <c r="Q183" i="19"/>
  <c r="R183" i="19"/>
  <c r="S183" i="19"/>
  <c r="T183" i="19"/>
  <c r="U183" i="19"/>
  <c r="V183" i="19"/>
  <c r="M184" i="19"/>
  <c r="N184" i="19"/>
  <c r="O184" i="19"/>
  <c r="P184" i="19"/>
  <c r="Q184" i="19"/>
  <c r="R184" i="19"/>
  <c r="S184" i="19"/>
  <c r="T184" i="19"/>
  <c r="U184" i="19"/>
  <c r="V184" i="19"/>
  <c r="M185" i="19"/>
  <c r="O185" i="19" s="1"/>
  <c r="P185" i="19"/>
  <c r="Q185" i="19"/>
  <c r="R185" i="19"/>
  <c r="S185" i="19"/>
  <c r="T185" i="19"/>
  <c r="U185" i="19"/>
  <c r="V185" i="19"/>
  <c r="M186" i="19"/>
  <c r="N186" i="19"/>
  <c r="O186" i="19"/>
  <c r="P186" i="19"/>
  <c r="Q186" i="19"/>
  <c r="R186" i="19"/>
  <c r="S186" i="19"/>
  <c r="T186" i="19"/>
  <c r="U186" i="19"/>
  <c r="V186" i="19"/>
  <c r="M187" i="19"/>
  <c r="O187" i="19" s="1"/>
  <c r="P187" i="19"/>
  <c r="Q187" i="19"/>
  <c r="R187" i="19"/>
  <c r="S187" i="19"/>
  <c r="T187" i="19"/>
  <c r="U187" i="19"/>
  <c r="V187" i="19"/>
  <c r="M188" i="19"/>
  <c r="N188" i="19"/>
  <c r="O188" i="19"/>
  <c r="P188" i="19"/>
  <c r="Q188" i="19"/>
  <c r="R188" i="19"/>
  <c r="S188" i="19"/>
  <c r="T188" i="19"/>
  <c r="U188" i="19"/>
  <c r="V188" i="19"/>
  <c r="M189" i="19"/>
  <c r="O189" i="19" s="1"/>
  <c r="P189" i="19"/>
  <c r="Q189" i="19"/>
  <c r="R189" i="19"/>
  <c r="S189" i="19"/>
  <c r="T189" i="19"/>
  <c r="U189" i="19"/>
  <c r="V189" i="19"/>
  <c r="M190" i="19"/>
  <c r="N190" i="19"/>
  <c r="O190" i="19"/>
  <c r="P190" i="19"/>
  <c r="Q190" i="19"/>
  <c r="R190" i="19"/>
  <c r="S190" i="19"/>
  <c r="T190" i="19"/>
  <c r="U190" i="19"/>
  <c r="V190" i="19"/>
  <c r="M191" i="19"/>
  <c r="O191" i="19" s="1"/>
  <c r="P191" i="19"/>
  <c r="Q191" i="19"/>
  <c r="R191" i="19"/>
  <c r="S191" i="19"/>
  <c r="T191" i="19"/>
  <c r="U191" i="19"/>
  <c r="V191" i="19"/>
  <c r="M192" i="19"/>
  <c r="N192" i="19"/>
  <c r="O192" i="19"/>
  <c r="P192" i="19"/>
  <c r="Q192" i="19"/>
  <c r="R192" i="19"/>
  <c r="S192" i="19"/>
  <c r="T192" i="19"/>
  <c r="U192" i="19"/>
  <c r="V192" i="19"/>
  <c r="M193" i="19"/>
  <c r="O193" i="19" s="1"/>
  <c r="P193" i="19"/>
  <c r="Q193" i="19"/>
  <c r="R193" i="19"/>
  <c r="S193" i="19"/>
  <c r="T193" i="19"/>
  <c r="U193" i="19"/>
  <c r="V193" i="19"/>
  <c r="M194" i="19"/>
  <c r="N194" i="19"/>
  <c r="O194" i="19"/>
  <c r="P194" i="19"/>
  <c r="Q194" i="19"/>
  <c r="R194" i="19"/>
  <c r="S194" i="19"/>
  <c r="T194" i="19"/>
  <c r="U194" i="19"/>
  <c r="V194" i="19"/>
  <c r="M195" i="19"/>
  <c r="O195" i="19" s="1"/>
  <c r="P195" i="19"/>
  <c r="Q195" i="19"/>
  <c r="R195" i="19"/>
  <c r="S195" i="19"/>
  <c r="T195" i="19"/>
  <c r="U195" i="19"/>
  <c r="V195" i="19"/>
  <c r="M196" i="19"/>
  <c r="N196" i="19"/>
  <c r="O196" i="19"/>
  <c r="P196" i="19"/>
  <c r="Q196" i="19"/>
  <c r="R196" i="19"/>
  <c r="S196" i="19"/>
  <c r="T196" i="19"/>
  <c r="U196" i="19"/>
  <c r="V196" i="19"/>
  <c r="M197" i="19"/>
  <c r="O197" i="19" s="1"/>
  <c r="P197" i="19"/>
  <c r="Q197" i="19"/>
  <c r="R197" i="19"/>
  <c r="S197" i="19"/>
  <c r="T197" i="19"/>
  <c r="U197" i="19"/>
  <c r="V197" i="19"/>
  <c r="M198" i="19"/>
  <c r="N198" i="19"/>
  <c r="O198" i="19"/>
  <c r="P198" i="19"/>
  <c r="Q198" i="19"/>
  <c r="R198" i="19"/>
  <c r="S198" i="19"/>
  <c r="T198" i="19"/>
  <c r="U198" i="19"/>
  <c r="V198" i="19"/>
  <c r="M199" i="19"/>
  <c r="O199" i="19" s="1"/>
  <c r="P199" i="19"/>
  <c r="Q199" i="19"/>
  <c r="R199" i="19"/>
  <c r="S199" i="19"/>
  <c r="T199" i="19"/>
  <c r="U199" i="19"/>
  <c r="V199" i="19"/>
  <c r="M200" i="19"/>
  <c r="N200" i="19"/>
  <c r="O200" i="19"/>
  <c r="P200" i="19"/>
  <c r="Q200" i="19"/>
  <c r="R200" i="19"/>
  <c r="S200" i="19"/>
  <c r="T200" i="19"/>
  <c r="U200" i="19"/>
  <c r="V200" i="19"/>
  <c r="M201" i="19"/>
  <c r="O201" i="19" s="1"/>
  <c r="P201" i="19"/>
  <c r="Q201" i="19"/>
  <c r="R201" i="19"/>
  <c r="S201" i="19"/>
  <c r="T201" i="19"/>
  <c r="U201" i="19"/>
  <c r="V201" i="19"/>
  <c r="M202" i="19"/>
  <c r="N202" i="19"/>
  <c r="O202" i="19"/>
  <c r="P202" i="19"/>
  <c r="Q202" i="19"/>
  <c r="R202" i="19"/>
  <c r="S202" i="19"/>
  <c r="T202" i="19"/>
  <c r="U202" i="19"/>
  <c r="V202" i="19"/>
  <c r="M203" i="19"/>
  <c r="O203" i="19" s="1"/>
  <c r="P203" i="19"/>
  <c r="Q203" i="19"/>
  <c r="R203" i="19"/>
  <c r="S203" i="19"/>
  <c r="T203" i="19"/>
  <c r="U203" i="19"/>
  <c r="V203" i="19"/>
  <c r="M204" i="19"/>
  <c r="N204" i="19"/>
  <c r="O204" i="19"/>
  <c r="P204" i="19"/>
  <c r="Q204" i="19"/>
  <c r="R204" i="19"/>
  <c r="S204" i="19"/>
  <c r="T204" i="19"/>
  <c r="U204" i="19"/>
  <c r="V204" i="19"/>
  <c r="M205" i="19"/>
  <c r="O205" i="19" s="1"/>
  <c r="P205" i="19"/>
  <c r="Q205" i="19"/>
  <c r="R205" i="19"/>
  <c r="S205" i="19"/>
  <c r="T205" i="19"/>
  <c r="U205" i="19"/>
  <c r="V205" i="19"/>
  <c r="M206" i="19"/>
  <c r="N206" i="19"/>
  <c r="O206" i="19"/>
  <c r="P206" i="19"/>
  <c r="Q206" i="19"/>
  <c r="R206" i="19"/>
  <c r="S206" i="19"/>
  <c r="T206" i="19"/>
  <c r="U206" i="19"/>
  <c r="V206" i="19"/>
  <c r="M207" i="19"/>
  <c r="O207" i="19" s="1"/>
  <c r="P207" i="19"/>
  <c r="Q207" i="19"/>
  <c r="R207" i="19"/>
  <c r="S207" i="19"/>
  <c r="U207" i="19"/>
  <c r="V207" i="19"/>
  <c r="M208" i="19"/>
  <c r="N208" i="19"/>
  <c r="O208" i="19"/>
  <c r="P208" i="19"/>
  <c r="Q208" i="19"/>
  <c r="R208" i="19"/>
  <c r="S208" i="19"/>
  <c r="U208" i="19"/>
  <c r="V208" i="19"/>
  <c r="M209" i="19"/>
  <c r="O209" i="19" s="1"/>
  <c r="P209" i="19"/>
  <c r="Q209" i="19"/>
  <c r="R209" i="19"/>
  <c r="S209" i="19"/>
  <c r="U209" i="19"/>
  <c r="V209" i="19"/>
  <c r="M210" i="19"/>
  <c r="N210" i="19"/>
  <c r="O210" i="19"/>
  <c r="P210" i="19"/>
  <c r="Q210" i="19"/>
  <c r="R210" i="19"/>
  <c r="S210" i="19"/>
  <c r="U210" i="19"/>
  <c r="V210" i="19"/>
  <c r="M211" i="19"/>
  <c r="O211" i="19" s="1"/>
  <c r="P211" i="19"/>
  <c r="Q211" i="19"/>
  <c r="R211" i="19"/>
  <c r="S211" i="19"/>
  <c r="U211" i="19"/>
  <c r="V211" i="19"/>
  <c r="M212" i="19"/>
  <c r="N212" i="19"/>
  <c r="O212" i="19"/>
  <c r="P212" i="19"/>
  <c r="Q212" i="19"/>
  <c r="R212" i="19"/>
  <c r="S212" i="19"/>
  <c r="U212" i="19"/>
  <c r="V212" i="19"/>
  <c r="M213" i="19"/>
  <c r="P213" i="19"/>
  <c r="Q213" i="19"/>
  <c r="R213" i="19"/>
  <c r="S213" i="19"/>
  <c r="U213" i="19"/>
  <c r="V213" i="19"/>
  <c r="M214" i="19"/>
  <c r="N214" i="19"/>
  <c r="O214" i="19"/>
  <c r="P214" i="19"/>
  <c r="Q214" i="19"/>
  <c r="R214" i="19"/>
  <c r="S214" i="19"/>
  <c r="T214" i="19"/>
  <c r="U214" i="19"/>
  <c r="V214" i="19"/>
  <c r="M215" i="19"/>
  <c r="N215" i="19"/>
  <c r="O215" i="19"/>
  <c r="P215" i="19"/>
  <c r="Q215" i="19"/>
  <c r="R215" i="19"/>
  <c r="S215" i="19"/>
  <c r="U215" i="19"/>
  <c r="M216" i="19"/>
  <c r="O216" i="19" s="1"/>
  <c r="N216" i="19"/>
  <c r="P216" i="19"/>
  <c r="Q216" i="19"/>
  <c r="R216" i="19"/>
  <c r="S216" i="19"/>
  <c r="U216" i="19"/>
  <c r="V216" i="19"/>
  <c r="M217" i="19"/>
  <c r="N217" i="19"/>
  <c r="O217" i="19"/>
  <c r="P217" i="19"/>
  <c r="Q217" i="19"/>
  <c r="R217" i="19"/>
  <c r="S217" i="19"/>
  <c r="T217" i="19"/>
  <c r="U217" i="19"/>
  <c r="V217" i="19"/>
  <c r="M218" i="19"/>
  <c r="O218" i="19" s="1"/>
  <c r="N218" i="19"/>
  <c r="P218" i="19"/>
  <c r="Q218" i="19"/>
  <c r="R218" i="19"/>
  <c r="S218" i="19"/>
  <c r="U218" i="19"/>
  <c r="V218" i="19"/>
  <c r="M219" i="19"/>
  <c r="N219" i="19"/>
  <c r="O219" i="19"/>
  <c r="P219" i="19"/>
  <c r="Q219" i="19"/>
  <c r="R219" i="19"/>
  <c r="S219" i="19"/>
  <c r="T219" i="19"/>
  <c r="U219" i="19"/>
  <c r="V219" i="19"/>
  <c r="M220" i="19"/>
  <c r="O220" i="19" s="1"/>
  <c r="N220" i="19"/>
  <c r="P220" i="19"/>
  <c r="Q220" i="19"/>
  <c r="R220" i="19"/>
  <c r="S220" i="19"/>
  <c r="T220" i="19"/>
  <c r="U220" i="19"/>
  <c r="M221" i="19"/>
  <c r="N221" i="19"/>
  <c r="O221" i="19"/>
  <c r="P221" i="19"/>
  <c r="Q221" i="19"/>
  <c r="R221" i="19"/>
  <c r="S221" i="19"/>
  <c r="T221" i="19"/>
  <c r="U221" i="19"/>
  <c r="M222" i="19"/>
  <c r="O222" i="19" s="1"/>
  <c r="N222" i="19"/>
  <c r="P222" i="19"/>
  <c r="Q222" i="19"/>
  <c r="R222" i="19"/>
  <c r="S222" i="19"/>
  <c r="T222" i="19"/>
  <c r="U222" i="19"/>
  <c r="M223" i="19"/>
  <c r="N223" i="19"/>
  <c r="O223" i="19"/>
  <c r="P223" i="19"/>
  <c r="Q223" i="19"/>
  <c r="R223" i="19"/>
  <c r="S223" i="19"/>
  <c r="T223" i="19"/>
  <c r="U223" i="19"/>
  <c r="M224" i="19"/>
  <c r="O224" i="19" s="1"/>
  <c r="N224" i="19"/>
  <c r="P224" i="19"/>
  <c r="Q224" i="19"/>
  <c r="R224" i="19"/>
  <c r="S224" i="19"/>
  <c r="T224" i="19"/>
  <c r="U224" i="19"/>
  <c r="M225" i="19"/>
  <c r="N225" i="19"/>
  <c r="O225" i="19"/>
  <c r="P225" i="19"/>
  <c r="Q225" i="19"/>
  <c r="R225" i="19"/>
  <c r="S225" i="19"/>
  <c r="T225" i="19"/>
  <c r="U225" i="19"/>
  <c r="M226" i="19"/>
  <c r="O226" i="19" s="1"/>
  <c r="N226" i="19"/>
  <c r="P226" i="19"/>
  <c r="Q226" i="19"/>
  <c r="R226" i="19"/>
  <c r="S226" i="19"/>
  <c r="T226" i="19"/>
  <c r="U226" i="19"/>
  <c r="V226" i="19"/>
  <c r="M227" i="19"/>
  <c r="N227" i="19"/>
  <c r="O227" i="19"/>
  <c r="P227" i="19"/>
  <c r="Q227" i="19"/>
  <c r="R227" i="19"/>
  <c r="S227" i="19"/>
  <c r="T227" i="19"/>
  <c r="U227" i="19"/>
  <c r="V227" i="19"/>
  <c r="M228" i="19"/>
  <c r="O228" i="19" s="1"/>
  <c r="N228" i="19"/>
  <c r="P228" i="19"/>
  <c r="Q228" i="19"/>
  <c r="R228" i="19"/>
  <c r="S228" i="19"/>
  <c r="T228" i="19"/>
  <c r="U228" i="19"/>
  <c r="V228" i="19"/>
  <c r="M229" i="19"/>
  <c r="N229" i="19"/>
  <c r="O229" i="19"/>
  <c r="P229" i="19"/>
  <c r="Q229" i="19"/>
  <c r="R229" i="19"/>
  <c r="S229" i="19"/>
  <c r="T229" i="19"/>
  <c r="U229" i="19"/>
  <c r="V229" i="19"/>
  <c r="M230" i="19"/>
  <c r="O230" i="19" s="1"/>
  <c r="N230" i="19"/>
  <c r="P230" i="19"/>
  <c r="Q230" i="19"/>
  <c r="R230" i="19"/>
  <c r="S230" i="19"/>
  <c r="T230" i="19"/>
  <c r="U230" i="19"/>
  <c r="V230" i="19"/>
  <c r="M231" i="19"/>
  <c r="N231" i="19"/>
  <c r="O231" i="19"/>
  <c r="P231" i="19"/>
  <c r="Q231" i="19"/>
  <c r="R231" i="19"/>
  <c r="S231" i="19"/>
  <c r="T231" i="19"/>
  <c r="U231" i="19"/>
  <c r="V231" i="19"/>
  <c r="M232" i="19"/>
  <c r="O232" i="19" s="1"/>
  <c r="N232" i="19"/>
  <c r="P232" i="19"/>
  <c r="Q232" i="19"/>
  <c r="R232" i="19"/>
  <c r="S232" i="19"/>
  <c r="T232" i="19"/>
  <c r="U232" i="19"/>
  <c r="V232" i="19"/>
  <c r="M233" i="19"/>
  <c r="N233" i="19"/>
  <c r="O233" i="19"/>
  <c r="P233" i="19"/>
  <c r="Q233" i="19"/>
  <c r="R233" i="19"/>
  <c r="S233" i="19"/>
  <c r="T233" i="19"/>
  <c r="U233" i="19"/>
  <c r="V233" i="19"/>
  <c r="M234" i="19"/>
  <c r="O234" i="19" s="1"/>
  <c r="N234" i="19"/>
  <c r="P234" i="19"/>
  <c r="Q234" i="19"/>
  <c r="R234" i="19"/>
  <c r="S234" i="19"/>
  <c r="T234" i="19"/>
  <c r="U234" i="19"/>
  <c r="V234" i="19"/>
  <c r="M235" i="19"/>
  <c r="N235" i="19"/>
  <c r="O235" i="19"/>
  <c r="P235" i="19"/>
  <c r="Q235" i="19"/>
  <c r="R235" i="19"/>
  <c r="S235" i="19"/>
  <c r="T235" i="19"/>
  <c r="U235" i="19"/>
  <c r="V235" i="19"/>
  <c r="M236" i="19"/>
  <c r="O236" i="19" s="1"/>
  <c r="N236" i="19"/>
  <c r="P236" i="19"/>
  <c r="Q236" i="19"/>
  <c r="R236" i="19"/>
  <c r="S236" i="19"/>
  <c r="T236" i="19"/>
  <c r="U236" i="19"/>
  <c r="V236" i="19"/>
  <c r="M237" i="19"/>
  <c r="N237" i="19"/>
  <c r="O237" i="19"/>
  <c r="P237" i="19"/>
  <c r="Q237" i="19"/>
  <c r="R237" i="19"/>
  <c r="S237" i="19"/>
  <c r="T237" i="19"/>
  <c r="U237" i="19"/>
  <c r="V237" i="19"/>
  <c r="M238" i="19"/>
  <c r="O238" i="19" s="1"/>
  <c r="N238" i="19"/>
  <c r="P238" i="19"/>
  <c r="Q238" i="19"/>
  <c r="R238" i="19"/>
  <c r="S238" i="19"/>
  <c r="T238" i="19"/>
  <c r="U238" i="19"/>
  <c r="V238" i="19"/>
  <c r="M239" i="19"/>
  <c r="N239" i="19"/>
  <c r="O239" i="19"/>
  <c r="P239" i="19"/>
  <c r="Q239" i="19"/>
  <c r="R239" i="19"/>
  <c r="S239" i="19"/>
  <c r="T239" i="19"/>
  <c r="U239" i="19"/>
  <c r="V239" i="19"/>
  <c r="M240" i="19"/>
  <c r="O240" i="19" s="1"/>
  <c r="N240" i="19"/>
  <c r="P240" i="19"/>
  <c r="Q240" i="19"/>
  <c r="R240" i="19"/>
  <c r="S240" i="19"/>
  <c r="T240" i="19"/>
  <c r="U240" i="19"/>
  <c r="V240" i="19"/>
  <c r="M241" i="19"/>
  <c r="N241" i="19"/>
  <c r="O241" i="19"/>
  <c r="P241" i="19"/>
  <c r="Q241" i="19"/>
  <c r="R241" i="19"/>
  <c r="S241" i="19"/>
  <c r="T241" i="19"/>
  <c r="U241" i="19"/>
  <c r="V241" i="19"/>
  <c r="M242" i="19"/>
  <c r="O242" i="19" s="1"/>
  <c r="N242" i="19"/>
  <c r="P242" i="19"/>
  <c r="Q242" i="19"/>
  <c r="R242" i="19"/>
  <c r="S242" i="19"/>
  <c r="T242" i="19"/>
  <c r="U242" i="19"/>
  <c r="V242" i="19"/>
  <c r="M243" i="19"/>
  <c r="N243" i="19"/>
  <c r="O243" i="19"/>
  <c r="P243" i="19"/>
  <c r="Q243" i="19"/>
  <c r="R243" i="19"/>
  <c r="S243" i="19"/>
  <c r="T243" i="19"/>
  <c r="U243" i="19"/>
  <c r="V243" i="19"/>
  <c r="M244" i="19"/>
  <c r="O244" i="19" s="1"/>
  <c r="N244" i="19"/>
  <c r="P244" i="19"/>
  <c r="Q244" i="19"/>
  <c r="R244" i="19"/>
  <c r="S244" i="19"/>
  <c r="T244" i="19"/>
  <c r="U244" i="19"/>
  <c r="V244" i="19"/>
  <c r="M245" i="19"/>
  <c r="N245" i="19"/>
  <c r="O245" i="19"/>
  <c r="P245" i="19"/>
  <c r="Q245" i="19"/>
  <c r="R245" i="19"/>
  <c r="S245" i="19"/>
  <c r="T245" i="19"/>
  <c r="U245" i="19"/>
  <c r="V245" i="19"/>
  <c r="M246" i="19"/>
  <c r="O246" i="19" s="1"/>
  <c r="N246" i="19"/>
  <c r="P246" i="19"/>
  <c r="Q246" i="19"/>
  <c r="R246" i="19"/>
  <c r="S246" i="19"/>
  <c r="T246" i="19"/>
  <c r="U246" i="19"/>
  <c r="V246" i="19"/>
  <c r="M247" i="19"/>
  <c r="N247" i="19"/>
  <c r="O247" i="19"/>
  <c r="P247" i="19"/>
  <c r="Q247" i="19"/>
  <c r="R247" i="19"/>
  <c r="S247" i="19"/>
  <c r="T247" i="19"/>
  <c r="U247" i="19"/>
  <c r="V247" i="19"/>
  <c r="M248" i="19"/>
  <c r="O248" i="19" s="1"/>
  <c r="N248" i="19"/>
  <c r="P248" i="19"/>
  <c r="Q248" i="19"/>
  <c r="R248" i="19"/>
  <c r="S248" i="19"/>
  <c r="U248" i="19"/>
  <c r="V248" i="19"/>
  <c r="M249" i="19"/>
  <c r="N249" i="19"/>
  <c r="O249" i="19"/>
  <c r="P249" i="19"/>
  <c r="Q249" i="19"/>
  <c r="R249" i="19"/>
  <c r="S249" i="19"/>
  <c r="T249" i="19"/>
  <c r="U249" i="19"/>
  <c r="V249" i="19"/>
  <c r="M250" i="19"/>
  <c r="O250" i="19" s="1"/>
  <c r="N250" i="19"/>
  <c r="P250" i="19"/>
  <c r="Q250" i="19"/>
  <c r="R250" i="19"/>
  <c r="S250" i="19"/>
  <c r="T250" i="19"/>
  <c r="U250" i="19"/>
  <c r="V250" i="19"/>
  <c r="M251" i="19"/>
  <c r="N251" i="19"/>
  <c r="O251" i="19"/>
  <c r="P251" i="19"/>
  <c r="Q251" i="19"/>
  <c r="R251" i="19"/>
  <c r="S251" i="19"/>
  <c r="T251" i="19"/>
  <c r="U251" i="19"/>
  <c r="V251" i="19"/>
  <c r="M252" i="19"/>
  <c r="O252" i="19" s="1"/>
  <c r="N252" i="19"/>
  <c r="P252" i="19"/>
  <c r="Q252" i="19"/>
  <c r="R252" i="19"/>
  <c r="S252" i="19"/>
  <c r="T252" i="19"/>
  <c r="U252" i="19"/>
  <c r="V252" i="19"/>
  <c r="M253" i="19"/>
  <c r="N253" i="19"/>
  <c r="O253" i="19"/>
  <c r="P253" i="19"/>
  <c r="Q253" i="19"/>
  <c r="R253" i="19"/>
  <c r="S253" i="19"/>
  <c r="T253" i="19"/>
  <c r="U253" i="19"/>
  <c r="V253" i="19"/>
  <c r="M254" i="19"/>
  <c r="O254" i="19" s="1"/>
  <c r="N254" i="19"/>
  <c r="P254" i="19"/>
  <c r="Q254" i="19"/>
  <c r="R254" i="19"/>
  <c r="S254" i="19"/>
  <c r="T254" i="19"/>
  <c r="U254" i="19"/>
  <c r="V254" i="19"/>
  <c r="M255" i="19"/>
  <c r="N255" i="19"/>
  <c r="O255" i="19"/>
  <c r="P255" i="19"/>
  <c r="Q255" i="19"/>
  <c r="R255" i="19"/>
  <c r="S255" i="19"/>
  <c r="T255" i="19"/>
  <c r="U255" i="19"/>
  <c r="V255" i="19"/>
  <c r="M256" i="19"/>
  <c r="O256" i="19" s="1"/>
  <c r="N256" i="19"/>
  <c r="P256" i="19"/>
  <c r="Q256" i="19"/>
  <c r="R256" i="19"/>
  <c r="S256" i="19"/>
  <c r="T256" i="19"/>
  <c r="U256" i="19"/>
  <c r="V256" i="19"/>
  <c r="M257" i="19"/>
  <c r="N257" i="19"/>
  <c r="O257" i="19"/>
  <c r="P257" i="19"/>
  <c r="Q257" i="19"/>
  <c r="R257" i="19"/>
  <c r="S257" i="19"/>
  <c r="T257" i="19"/>
  <c r="U257" i="19"/>
  <c r="V257" i="19"/>
  <c r="M258" i="19"/>
  <c r="O258" i="19" s="1"/>
  <c r="N258" i="19"/>
  <c r="P258" i="19"/>
  <c r="Q258" i="19"/>
  <c r="R258" i="19"/>
  <c r="S258" i="19"/>
  <c r="T258" i="19"/>
  <c r="U258" i="19"/>
  <c r="V258" i="19"/>
  <c r="M259" i="19"/>
  <c r="N259" i="19"/>
  <c r="O259" i="19"/>
  <c r="P259" i="19"/>
  <c r="Q259" i="19"/>
  <c r="R259" i="19"/>
  <c r="S259" i="19"/>
  <c r="T259" i="19"/>
  <c r="U259" i="19"/>
  <c r="V259" i="19"/>
  <c r="M260" i="19"/>
  <c r="O260" i="19" s="1"/>
  <c r="N260" i="19"/>
  <c r="P260" i="19"/>
  <c r="Q260" i="19"/>
  <c r="R260" i="19"/>
  <c r="S260" i="19"/>
  <c r="T260" i="19"/>
  <c r="U260" i="19"/>
  <c r="V260" i="19"/>
  <c r="M261" i="19"/>
  <c r="N261" i="19"/>
  <c r="O261" i="19"/>
  <c r="P261" i="19"/>
  <c r="Q261" i="19"/>
  <c r="R261" i="19"/>
  <c r="S261" i="19"/>
  <c r="T261" i="19"/>
  <c r="U261" i="19"/>
  <c r="V261" i="19"/>
  <c r="M262" i="19"/>
  <c r="O262" i="19" s="1"/>
  <c r="N262" i="19"/>
  <c r="P262" i="19"/>
  <c r="Q262" i="19"/>
  <c r="R262" i="19"/>
  <c r="S262" i="19"/>
  <c r="T262" i="19"/>
  <c r="U262" i="19"/>
  <c r="V262" i="19"/>
  <c r="M263" i="19"/>
  <c r="N263" i="19"/>
  <c r="O263" i="19"/>
  <c r="P263" i="19"/>
  <c r="Q263" i="19"/>
  <c r="R263" i="19"/>
  <c r="S263" i="19"/>
  <c r="T263" i="19"/>
  <c r="U263" i="19"/>
  <c r="V263" i="19"/>
  <c r="M264" i="19"/>
  <c r="O264" i="19" s="1"/>
  <c r="N264" i="19"/>
  <c r="P264" i="19"/>
  <c r="Q264" i="19"/>
  <c r="R264" i="19"/>
  <c r="S264" i="19"/>
  <c r="T264" i="19"/>
  <c r="U264" i="19"/>
  <c r="V264" i="19"/>
  <c r="M265" i="19"/>
  <c r="N265" i="19"/>
  <c r="O265" i="19"/>
  <c r="P265" i="19"/>
  <c r="Q265" i="19"/>
  <c r="R265" i="19"/>
  <c r="S265" i="19"/>
  <c r="T265" i="19"/>
  <c r="U265" i="19"/>
  <c r="V265" i="19"/>
  <c r="M266" i="19"/>
  <c r="O266" i="19" s="1"/>
  <c r="N266" i="19"/>
  <c r="P266" i="19"/>
  <c r="Q266" i="19"/>
  <c r="R266" i="19"/>
  <c r="S266" i="19"/>
  <c r="T266" i="19"/>
  <c r="U266" i="19"/>
  <c r="V266" i="19"/>
  <c r="M267" i="19"/>
  <c r="N267" i="19"/>
  <c r="O267" i="19"/>
  <c r="P267" i="19"/>
  <c r="Q267" i="19"/>
  <c r="R267" i="19"/>
  <c r="S267" i="19"/>
  <c r="T267" i="19"/>
  <c r="U267" i="19"/>
  <c r="V267" i="19"/>
  <c r="M268" i="19"/>
  <c r="O268" i="19" s="1"/>
  <c r="N268" i="19"/>
  <c r="P268" i="19"/>
  <c r="Q268" i="19"/>
  <c r="R268" i="19"/>
  <c r="S268" i="19"/>
  <c r="T268" i="19"/>
  <c r="U268" i="19"/>
  <c r="V268" i="19"/>
  <c r="M269" i="19"/>
  <c r="N269" i="19"/>
  <c r="O269" i="19"/>
  <c r="P269" i="19"/>
  <c r="Q269" i="19"/>
  <c r="R269" i="19"/>
  <c r="S269" i="19"/>
  <c r="T269" i="19"/>
  <c r="U269" i="19"/>
  <c r="V269" i="19"/>
  <c r="M270" i="19"/>
  <c r="O270" i="19" s="1"/>
  <c r="N270" i="19"/>
  <c r="P270" i="19"/>
  <c r="Q270" i="19"/>
  <c r="R270" i="19"/>
  <c r="S270" i="19"/>
  <c r="T270" i="19"/>
  <c r="U270" i="19"/>
  <c r="V270" i="19"/>
  <c r="M271" i="19"/>
  <c r="N271" i="19"/>
  <c r="O271" i="19"/>
  <c r="P271" i="19"/>
  <c r="Q271" i="19"/>
  <c r="R271" i="19"/>
  <c r="S271" i="19"/>
  <c r="T271" i="19"/>
  <c r="U271" i="19"/>
  <c r="V271" i="19"/>
  <c r="M272" i="19"/>
  <c r="O272" i="19" s="1"/>
  <c r="N272" i="19"/>
  <c r="P272" i="19"/>
  <c r="Q272" i="19"/>
  <c r="R272" i="19"/>
  <c r="S272" i="19"/>
  <c r="T272" i="19"/>
  <c r="U272" i="19"/>
  <c r="V272" i="19"/>
  <c r="M273" i="19"/>
  <c r="N273" i="19"/>
  <c r="O273" i="19"/>
  <c r="P273" i="19"/>
  <c r="Q273" i="19"/>
  <c r="R273" i="19"/>
  <c r="S273" i="19"/>
  <c r="T273" i="19"/>
  <c r="U273" i="19"/>
  <c r="V273" i="19"/>
  <c r="M274" i="19"/>
  <c r="O274" i="19" s="1"/>
  <c r="N274" i="19"/>
  <c r="P274" i="19"/>
  <c r="Q274" i="19"/>
  <c r="R274" i="19"/>
  <c r="S274" i="19"/>
  <c r="T274" i="19"/>
  <c r="U274" i="19"/>
  <c r="V274" i="19"/>
  <c r="M275" i="19"/>
  <c r="N275" i="19"/>
  <c r="O275" i="19"/>
  <c r="P275" i="19"/>
  <c r="Q275" i="19"/>
  <c r="R275" i="19"/>
  <c r="S275" i="19"/>
  <c r="T275" i="19"/>
  <c r="U275" i="19"/>
  <c r="V275" i="19"/>
  <c r="M276" i="19"/>
  <c r="O276" i="19" s="1"/>
  <c r="N276" i="19"/>
  <c r="P276" i="19"/>
  <c r="Q276" i="19"/>
  <c r="R276" i="19"/>
  <c r="S276" i="19"/>
  <c r="T276" i="19"/>
  <c r="U276" i="19"/>
  <c r="V276" i="19"/>
  <c r="M277" i="19"/>
  <c r="N277" i="19"/>
  <c r="O277" i="19"/>
  <c r="P277" i="19"/>
  <c r="Q277" i="19"/>
  <c r="R277" i="19"/>
  <c r="S277" i="19"/>
  <c r="T277" i="19"/>
  <c r="U277" i="19"/>
  <c r="V277" i="19"/>
  <c r="M278" i="19"/>
  <c r="O278" i="19" s="1"/>
  <c r="N278" i="19"/>
  <c r="P278" i="19"/>
  <c r="Q278" i="19"/>
  <c r="R278" i="19"/>
  <c r="S278" i="19"/>
  <c r="T278" i="19"/>
  <c r="U278" i="19"/>
  <c r="V278" i="19"/>
  <c r="M279" i="19"/>
  <c r="N279" i="19"/>
  <c r="O279" i="19"/>
  <c r="P279" i="19"/>
  <c r="Q279" i="19"/>
  <c r="R279" i="19"/>
  <c r="S279" i="19"/>
  <c r="T279" i="19"/>
  <c r="U279" i="19"/>
  <c r="V279" i="19"/>
  <c r="M280" i="19"/>
  <c r="O280" i="19" s="1"/>
  <c r="N280" i="19"/>
  <c r="P280" i="19"/>
  <c r="Q280" i="19"/>
  <c r="R280" i="19"/>
  <c r="S280" i="19"/>
  <c r="T280" i="19"/>
  <c r="U280" i="19"/>
  <c r="V280" i="19"/>
  <c r="M281" i="19"/>
  <c r="N281" i="19"/>
  <c r="O281" i="19"/>
  <c r="P281" i="19"/>
  <c r="Q281" i="19"/>
  <c r="R281" i="19"/>
  <c r="S281" i="19"/>
  <c r="T281" i="19"/>
  <c r="U281" i="19"/>
  <c r="V281" i="19"/>
  <c r="M282" i="19"/>
  <c r="O282" i="19" s="1"/>
  <c r="N282" i="19"/>
  <c r="P282" i="19"/>
  <c r="Q282" i="19"/>
  <c r="R282" i="19"/>
  <c r="S282" i="19"/>
  <c r="T282" i="19"/>
  <c r="U282" i="19"/>
  <c r="V282" i="19"/>
  <c r="M283" i="19"/>
  <c r="N283" i="19"/>
  <c r="O283" i="19"/>
  <c r="P283" i="19"/>
  <c r="Q283" i="19"/>
  <c r="R283" i="19"/>
  <c r="S283" i="19"/>
  <c r="T283" i="19"/>
  <c r="U283" i="19"/>
  <c r="V283" i="19"/>
  <c r="M284" i="19"/>
  <c r="O284" i="19" s="1"/>
  <c r="N284" i="19"/>
  <c r="P284" i="19"/>
  <c r="Q284" i="19"/>
  <c r="R284" i="19"/>
  <c r="S284" i="19"/>
  <c r="T284" i="19"/>
  <c r="U284" i="19"/>
  <c r="V284" i="19"/>
  <c r="M285" i="19"/>
  <c r="N285" i="19"/>
  <c r="O285" i="19"/>
  <c r="P285" i="19"/>
  <c r="Q285" i="19"/>
  <c r="R285" i="19"/>
  <c r="S285" i="19"/>
  <c r="T285" i="19"/>
  <c r="U285" i="19"/>
  <c r="V285" i="19"/>
  <c r="M286" i="19"/>
  <c r="O286" i="19" s="1"/>
  <c r="N286" i="19"/>
  <c r="P286" i="19"/>
  <c r="Q286" i="19"/>
  <c r="R286" i="19"/>
  <c r="S286" i="19"/>
  <c r="T286" i="19"/>
  <c r="U286" i="19"/>
  <c r="V286" i="19"/>
  <c r="M287" i="19"/>
  <c r="N287" i="19"/>
  <c r="O287" i="19"/>
  <c r="P287" i="19"/>
  <c r="Q287" i="19"/>
  <c r="R287" i="19"/>
  <c r="S287" i="19"/>
  <c r="T287" i="19"/>
  <c r="U287" i="19"/>
  <c r="V287" i="19"/>
  <c r="M288" i="19"/>
  <c r="O288" i="19" s="1"/>
  <c r="N288" i="19"/>
  <c r="P288" i="19"/>
  <c r="Q288" i="19"/>
  <c r="R288" i="19"/>
  <c r="S288" i="19"/>
  <c r="T288" i="19"/>
  <c r="U288" i="19"/>
  <c r="V288" i="19"/>
  <c r="M289" i="19"/>
  <c r="N289" i="19"/>
  <c r="O289" i="19"/>
  <c r="P289" i="19"/>
  <c r="Q289" i="19"/>
  <c r="R289" i="19"/>
  <c r="S289" i="19"/>
  <c r="T289" i="19"/>
  <c r="U289" i="19"/>
  <c r="V289" i="19"/>
  <c r="M290" i="19"/>
  <c r="O290" i="19" s="1"/>
  <c r="N290" i="19"/>
  <c r="P290" i="19"/>
  <c r="Q290" i="19"/>
  <c r="R290" i="19"/>
  <c r="S290" i="19"/>
  <c r="T290" i="19"/>
  <c r="U290" i="19"/>
  <c r="V290" i="19"/>
  <c r="M291" i="19"/>
  <c r="N291" i="19"/>
  <c r="O291" i="19"/>
  <c r="P291" i="19"/>
  <c r="Q291" i="19"/>
  <c r="R291" i="19"/>
  <c r="S291" i="19"/>
  <c r="T291" i="19"/>
  <c r="U291" i="19"/>
  <c r="V291" i="19"/>
  <c r="M292" i="19"/>
  <c r="O292" i="19" s="1"/>
  <c r="N292" i="19"/>
  <c r="P292" i="19"/>
  <c r="Q292" i="19"/>
  <c r="R292" i="19"/>
  <c r="S292" i="19"/>
  <c r="T292" i="19"/>
  <c r="U292" i="19"/>
  <c r="V292" i="19"/>
  <c r="M293" i="19"/>
  <c r="N293" i="19"/>
  <c r="O293" i="19"/>
  <c r="P293" i="19"/>
  <c r="Q293" i="19"/>
  <c r="R293" i="19"/>
  <c r="S293" i="19"/>
  <c r="T293" i="19"/>
  <c r="U293" i="19"/>
  <c r="V293" i="19"/>
  <c r="M294" i="19"/>
  <c r="O294" i="19" s="1"/>
  <c r="N294" i="19"/>
  <c r="P294" i="19"/>
  <c r="Q294" i="19"/>
  <c r="R294" i="19"/>
  <c r="S294" i="19"/>
  <c r="T294" i="19"/>
  <c r="U294" i="19"/>
  <c r="V294" i="19"/>
  <c r="M295" i="19"/>
  <c r="N295" i="19"/>
  <c r="O295" i="19"/>
  <c r="P295" i="19"/>
  <c r="Q295" i="19"/>
  <c r="R295" i="19"/>
  <c r="S295" i="19"/>
  <c r="T295" i="19"/>
  <c r="U295" i="19"/>
  <c r="V295" i="19"/>
  <c r="M296" i="19"/>
  <c r="O296" i="19" s="1"/>
  <c r="N296" i="19"/>
  <c r="P296" i="19"/>
  <c r="Q296" i="19"/>
  <c r="R296" i="19"/>
  <c r="S296" i="19"/>
  <c r="T296" i="19"/>
  <c r="U296" i="19"/>
  <c r="V296" i="19"/>
  <c r="M297" i="19"/>
  <c r="N297" i="19"/>
  <c r="O297" i="19"/>
  <c r="P297" i="19"/>
  <c r="Q297" i="19"/>
  <c r="R297" i="19"/>
  <c r="S297" i="19"/>
  <c r="T297" i="19"/>
  <c r="U297" i="19"/>
  <c r="V297" i="19"/>
  <c r="M298" i="19"/>
  <c r="O298" i="19" s="1"/>
  <c r="N298" i="19"/>
  <c r="P298" i="19"/>
  <c r="Q298" i="19"/>
  <c r="R298" i="19"/>
  <c r="S298" i="19"/>
  <c r="T298" i="19"/>
  <c r="U298" i="19"/>
  <c r="V298" i="19"/>
  <c r="M299" i="19"/>
  <c r="N299" i="19"/>
  <c r="O299" i="19"/>
  <c r="P299" i="19"/>
  <c r="Q299" i="19"/>
  <c r="R299" i="19"/>
  <c r="S299" i="19"/>
  <c r="T299" i="19"/>
  <c r="U299" i="19"/>
  <c r="V299" i="19"/>
  <c r="M300" i="19"/>
  <c r="O300" i="19" s="1"/>
  <c r="N300" i="19"/>
  <c r="P300" i="19"/>
  <c r="Q300" i="19"/>
  <c r="R300" i="19"/>
  <c r="S300" i="19"/>
  <c r="T300" i="19"/>
  <c r="U300" i="19"/>
  <c r="V300" i="19"/>
  <c r="M301" i="19"/>
  <c r="N301" i="19"/>
  <c r="O301" i="19"/>
  <c r="P301" i="19"/>
  <c r="Q301" i="19"/>
  <c r="R301" i="19"/>
  <c r="S301" i="19"/>
  <c r="T301" i="19"/>
  <c r="U301" i="19"/>
  <c r="V301" i="19"/>
  <c r="M302" i="19"/>
  <c r="O302" i="19" s="1"/>
  <c r="N302" i="19"/>
  <c r="P302" i="19"/>
  <c r="Q302" i="19"/>
  <c r="R302" i="19"/>
  <c r="S302" i="19"/>
  <c r="T302" i="19"/>
  <c r="U302" i="19"/>
  <c r="V302" i="19"/>
  <c r="M303" i="19"/>
  <c r="N303" i="19"/>
  <c r="O303" i="19"/>
  <c r="P303" i="19"/>
  <c r="Q303" i="19"/>
  <c r="R303" i="19"/>
  <c r="S303" i="19"/>
  <c r="T303" i="19"/>
  <c r="U303" i="19"/>
  <c r="V303" i="19"/>
  <c r="M304" i="19"/>
  <c r="O304" i="19" s="1"/>
  <c r="N304" i="19"/>
  <c r="P304" i="19"/>
  <c r="Q304" i="19"/>
  <c r="R304" i="19"/>
  <c r="S304" i="19"/>
  <c r="U304" i="19"/>
  <c r="V304" i="19"/>
  <c r="M305" i="19"/>
  <c r="N305" i="19"/>
  <c r="O305" i="19"/>
  <c r="P305" i="19"/>
  <c r="Q305" i="19"/>
  <c r="R305" i="19"/>
  <c r="S305" i="19"/>
  <c r="T305" i="19"/>
  <c r="U305" i="19"/>
  <c r="V305" i="19"/>
  <c r="M306" i="19"/>
  <c r="O306" i="19" s="1"/>
  <c r="N306" i="19"/>
  <c r="P306" i="19"/>
  <c r="Q306" i="19"/>
  <c r="R306" i="19"/>
  <c r="S306" i="19"/>
  <c r="T306" i="19"/>
  <c r="U306" i="19"/>
  <c r="V306" i="19"/>
  <c r="M307" i="19"/>
  <c r="N307" i="19"/>
  <c r="O307" i="19"/>
  <c r="P307" i="19"/>
  <c r="Q307" i="19"/>
  <c r="R307" i="19"/>
  <c r="S307" i="19"/>
  <c r="T307" i="19"/>
  <c r="U307" i="19"/>
  <c r="V307" i="19"/>
  <c r="M308" i="19"/>
  <c r="O308" i="19" s="1"/>
  <c r="N308" i="19"/>
  <c r="P308" i="19"/>
  <c r="Q308" i="19"/>
  <c r="R308" i="19"/>
  <c r="S308" i="19"/>
  <c r="T308" i="19"/>
  <c r="U308" i="19"/>
  <c r="V308" i="19"/>
  <c r="M309" i="19"/>
  <c r="N309" i="19"/>
  <c r="O309" i="19"/>
  <c r="P309" i="19"/>
  <c r="Q309" i="19"/>
  <c r="R309" i="19"/>
  <c r="S309" i="19"/>
  <c r="T309" i="19"/>
  <c r="U309" i="19"/>
  <c r="V309" i="19"/>
  <c r="M310" i="19"/>
  <c r="O310" i="19" s="1"/>
  <c r="N310" i="19"/>
  <c r="P310" i="19"/>
  <c r="Q310" i="19"/>
  <c r="R310" i="19"/>
  <c r="S310" i="19"/>
  <c r="U310" i="19"/>
  <c r="M311" i="19"/>
  <c r="N311" i="19"/>
  <c r="O311" i="19"/>
  <c r="P311" i="19"/>
  <c r="Q311" i="19"/>
  <c r="R311" i="19"/>
  <c r="S311" i="19"/>
  <c r="T311" i="19"/>
  <c r="U311" i="19"/>
  <c r="V311" i="19"/>
  <c r="M312" i="19"/>
  <c r="O312" i="19" s="1"/>
  <c r="N312" i="19"/>
  <c r="P312" i="19"/>
  <c r="Q312" i="19"/>
  <c r="R312" i="19"/>
  <c r="S312" i="19"/>
  <c r="U312" i="19"/>
  <c r="M313" i="19"/>
  <c r="N313" i="19"/>
  <c r="O313" i="19"/>
  <c r="P313" i="19"/>
  <c r="Q313" i="19"/>
  <c r="R313" i="19"/>
  <c r="S313" i="19"/>
  <c r="T313" i="19"/>
  <c r="U313" i="19"/>
  <c r="V313" i="19"/>
  <c r="M314" i="19"/>
  <c r="O314" i="19" s="1"/>
  <c r="N314" i="19"/>
  <c r="P314" i="19"/>
  <c r="Q314" i="19"/>
  <c r="R314" i="19"/>
  <c r="S314" i="19"/>
  <c r="T314" i="19"/>
  <c r="U314" i="19"/>
  <c r="V314" i="19"/>
  <c r="M315" i="19"/>
  <c r="N315" i="19"/>
  <c r="O315" i="19"/>
  <c r="P315" i="19"/>
  <c r="Q315" i="19"/>
  <c r="R315" i="19"/>
  <c r="S315" i="19"/>
  <c r="T315" i="19"/>
  <c r="U315" i="19"/>
  <c r="V315" i="19"/>
  <c r="M316" i="19"/>
  <c r="O316" i="19" s="1"/>
  <c r="N316" i="19"/>
  <c r="P316" i="19"/>
  <c r="Q316" i="19"/>
  <c r="R316" i="19"/>
  <c r="S316" i="19"/>
  <c r="T316" i="19"/>
  <c r="U316" i="19"/>
  <c r="V316" i="19"/>
  <c r="M317" i="19"/>
  <c r="N317" i="19"/>
  <c r="O317" i="19"/>
  <c r="P317" i="19"/>
  <c r="Q317" i="19"/>
  <c r="R317" i="19"/>
  <c r="S317" i="19"/>
  <c r="T317" i="19"/>
  <c r="U317" i="19"/>
  <c r="V317" i="19"/>
  <c r="M318" i="19"/>
  <c r="O318" i="19" s="1"/>
  <c r="N318" i="19"/>
  <c r="P318" i="19"/>
  <c r="Q318" i="19"/>
  <c r="R318" i="19"/>
  <c r="S318" i="19"/>
  <c r="T318" i="19"/>
  <c r="U318" i="19"/>
  <c r="V318" i="19"/>
  <c r="M319" i="19"/>
  <c r="N319" i="19"/>
  <c r="O319" i="19"/>
  <c r="P319" i="19"/>
  <c r="Q319" i="19"/>
  <c r="R319" i="19"/>
  <c r="S319" i="19"/>
  <c r="T319" i="19"/>
  <c r="U319" i="19"/>
  <c r="V319" i="19"/>
  <c r="M320" i="19"/>
  <c r="O320" i="19" s="1"/>
  <c r="N320" i="19"/>
  <c r="P320" i="19"/>
  <c r="Q320" i="19"/>
  <c r="R320" i="19"/>
  <c r="S320" i="19"/>
  <c r="T320" i="19"/>
  <c r="U320" i="19"/>
  <c r="V320" i="19"/>
  <c r="M321" i="19"/>
  <c r="N321" i="19"/>
  <c r="O321" i="19"/>
  <c r="P321" i="19"/>
  <c r="Q321" i="19"/>
  <c r="R321" i="19"/>
  <c r="S321" i="19"/>
  <c r="T321" i="19"/>
  <c r="U321" i="19"/>
  <c r="V321" i="19"/>
  <c r="M322" i="19"/>
  <c r="O322" i="19" s="1"/>
  <c r="N322" i="19"/>
  <c r="P322" i="19"/>
  <c r="Q322" i="19"/>
  <c r="R322" i="19"/>
  <c r="S322" i="19"/>
  <c r="T322" i="19"/>
  <c r="U322" i="19"/>
  <c r="V322" i="19"/>
  <c r="M323" i="19"/>
  <c r="N323" i="19"/>
  <c r="O323" i="19"/>
  <c r="P323" i="19"/>
  <c r="Q323" i="19"/>
  <c r="R323" i="19"/>
  <c r="S323" i="19"/>
  <c r="T323" i="19"/>
  <c r="U323" i="19"/>
  <c r="V323" i="19"/>
  <c r="M324" i="19"/>
  <c r="O324" i="19" s="1"/>
  <c r="N324" i="19"/>
  <c r="P324" i="19"/>
  <c r="Q324" i="19"/>
  <c r="R324" i="19"/>
  <c r="S324" i="19"/>
  <c r="T324" i="19"/>
  <c r="U324" i="19"/>
  <c r="V324" i="19"/>
  <c r="M325" i="19"/>
  <c r="N325" i="19"/>
  <c r="O325" i="19"/>
  <c r="P325" i="19"/>
  <c r="Q325" i="19"/>
  <c r="R325" i="19"/>
  <c r="S325" i="19"/>
  <c r="T325" i="19"/>
  <c r="U325" i="19"/>
  <c r="V325" i="19"/>
  <c r="M326" i="19"/>
  <c r="O326" i="19" s="1"/>
  <c r="N326" i="19"/>
  <c r="P326" i="19"/>
  <c r="Q326" i="19"/>
  <c r="R326" i="19"/>
  <c r="S326" i="19"/>
  <c r="T326" i="19"/>
  <c r="U326" i="19"/>
  <c r="V326" i="19"/>
  <c r="M327" i="19"/>
  <c r="N327" i="19"/>
  <c r="O327" i="19"/>
  <c r="P327" i="19"/>
  <c r="Q327" i="19"/>
  <c r="R327" i="19"/>
  <c r="S327" i="19"/>
  <c r="T327" i="19"/>
  <c r="U327" i="19"/>
  <c r="V327" i="19"/>
  <c r="M328" i="19"/>
  <c r="O328" i="19" s="1"/>
  <c r="N328" i="19"/>
  <c r="P328" i="19"/>
  <c r="Q328" i="19"/>
  <c r="R328" i="19"/>
  <c r="S328" i="19"/>
  <c r="T328" i="19"/>
  <c r="U328" i="19"/>
  <c r="V328" i="19"/>
  <c r="M329" i="19"/>
  <c r="N329" i="19"/>
  <c r="O329" i="19"/>
  <c r="P329" i="19"/>
  <c r="Q329" i="19"/>
  <c r="R329" i="19"/>
  <c r="S329" i="19"/>
  <c r="T329" i="19"/>
  <c r="U329" i="19"/>
  <c r="V329" i="19"/>
  <c r="M330" i="19"/>
  <c r="O330" i="19" s="1"/>
  <c r="N330" i="19"/>
  <c r="P330" i="19"/>
  <c r="Q330" i="19"/>
  <c r="R330" i="19"/>
  <c r="S330" i="19"/>
  <c r="T330" i="19"/>
  <c r="U330" i="19"/>
  <c r="V330" i="19"/>
  <c r="M331" i="19"/>
  <c r="N331" i="19"/>
  <c r="O331" i="19"/>
  <c r="P331" i="19"/>
  <c r="Q331" i="19"/>
  <c r="R331" i="19"/>
  <c r="S331" i="19"/>
  <c r="T331" i="19"/>
  <c r="U331" i="19"/>
  <c r="V331" i="19"/>
  <c r="M332" i="19"/>
  <c r="O332" i="19" s="1"/>
  <c r="N332" i="19"/>
  <c r="P332" i="19"/>
  <c r="Q332" i="19"/>
  <c r="R332" i="19"/>
  <c r="S332" i="19"/>
  <c r="T332" i="19"/>
  <c r="U332" i="19"/>
  <c r="V332" i="19"/>
  <c r="M333" i="19"/>
  <c r="N333" i="19"/>
  <c r="O333" i="19"/>
  <c r="P333" i="19"/>
  <c r="Q333" i="19"/>
  <c r="R333" i="19"/>
  <c r="S333" i="19"/>
  <c r="T333" i="19"/>
  <c r="U333" i="19"/>
  <c r="V333" i="19"/>
  <c r="M334" i="19"/>
  <c r="O334" i="19" s="1"/>
  <c r="N334" i="19"/>
  <c r="P334" i="19"/>
  <c r="Q334" i="19"/>
  <c r="R334" i="19"/>
  <c r="S334" i="19"/>
  <c r="T334" i="19"/>
  <c r="U334" i="19"/>
  <c r="M335" i="19"/>
  <c r="N335" i="19"/>
  <c r="O335" i="19"/>
  <c r="P335" i="19"/>
  <c r="Q335" i="19"/>
  <c r="R335" i="19"/>
  <c r="S335" i="19"/>
  <c r="T335" i="19"/>
  <c r="U335" i="19"/>
  <c r="V335" i="19"/>
  <c r="M336" i="19"/>
  <c r="O336" i="19" s="1"/>
  <c r="N336" i="19"/>
  <c r="P336" i="19"/>
  <c r="Q336" i="19"/>
  <c r="R336" i="19"/>
  <c r="S336" i="19"/>
  <c r="T336" i="19"/>
  <c r="U336" i="19"/>
  <c r="V336" i="19"/>
  <c r="M337" i="19"/>
  <c r="N337" i="19"/>
  <c r="O337" i="19"/>
  <c r="P337" i="19"/>
  <c r="Q337" i="19"/>
  <c r="R337" i="19"/>
  <c r="S337" i="19"/>
  <c r="U337" i="19"/>
  <c r="V337" i="19"/>
  <c r="M338" i="19"/>
  <c r="O338" i="19" s="1"/>
  <c r="N338" i="19"/>
  <c r="P338" i="19"/>
  <c r="Q338" i="19"/>
  <c r="R338" i="19"/>
  <c r="S338" i="19"/>
  <c r="T338" i="19"/>
  <c r="U338" i="19"/>
  <c r="V338" i="19"/>
  <c r="M339" i="19"/>
  <c r="N339" i="19"/>
  <c r="O339" i="19"/>
  <c r="P339" i="19"/>
  <c r="Q339" i="19"/>
  <c r="R339" i="19"/>
  <c r="S339" i="19"/>
  <c r="T339" i="19"/>
  <c r="U339" i="19"/>
  <c r="V339" i="19"/>
  <c r="M340" i="19"/>
  <c r="O340" i="19" s="1"/>
  <c r="N340" i="19"/>
  <c r="P340" i="19"/>
  <c r="Q340" i="19"/>
  <c r="R340" i="19"/>
  <c r="S340" i="19"/>
  <c r="T340" i="19"/>
  <c r="U340" i="19"/>
  <c r="V340" i="19"/>
  <c r="M341" i="19"/>
  <c r="N341" i="19"/>
  <c r="O341" i="19"/>
  <c r="P341" i="19"/>
  <c r="Q341" i="19"/>
  <c r="R341" i="19"/>
  <c r="S341" i="19"/>
  <c r="T341" i="19"/>
  <c r="U341" i="19"/>
  <c r="V341" i="19"/>
  <c r="M342" i="19"/>
  <c r="O342" i="19" s="1"/>
  <c r="N342" i="19"/>
  <c r="P342" i="19"/>
  <c r="Q342" i="19"/>
  <c r="R342" i="19"/>
  <c r="S342" i="19"/>
  <c r="U342" i="19"/>
  <c r="M343" i="19"/>
  <c r="N343" i="19"/>
  <c r="O343" i="19"/>
  <c r="P343" i="19"/>
  <c r="Q343" i="19"/>
  <c r="R343" i="19"/>
  <c r="S343" i="19"/>
  <c r="T343" i="19"/>
  <c r="U343" i="19"/>
  <c r="V343" i="19"/>
  <c r="M344" i="19"/>
  <c r="O344" i="19" s="1"/>
  <c r="N344" i="19"/>
  <c r="P344" i="19"/>
  <c r="Q344" i="19"/>
  <c r="R344" i="19"/>
  <c r="S344" i="19"/>
  <c r="T344" i="19"/>
  <c r="U344" i="19"/>
  <c r="V344" i="19"/>
  <c r="M345" i="19"/>
  <c r="N345" i="19"/>
  <c r="O345" i="19"/>
  <c r="P345" i="19"/>
  <c r="Q345" i="19"/>
  <c r="R345" i="19"/>
  <c r="S345" i="19"/>
  <c r="T345" i="19"/>
  <c r="U345" i="19"/>
  <c r="V345" i="19"/>
  <c r="M346" i="19"/>
  <c r="O346" i="19" s="1"/>
  <c r="N346" i="19"/>
  <c r="P346" i="19"/>
  <c r="Q346" i="19"/>
  <c r="R346" i="19"/>
  <c r="S346" i="19"/>
  <c r="T346" i="19"/>
  <c r="U346" i="19"/>
  <c r="V346" i="19"/>
  <c r="M347" i="19"/>
  <c r="N347" i="19"/>
  <c r="O347" i="19"/>
  <c r="P347" i="19"/>
  <c r="Q347" i="19"/>
  <c r="R347" i="19"/>
  <c r="S347" i="19"/>
  <c r="T347" i="19"/>
  <c r="U347" i="19"/>
  <c r="V347" i="19"/>
  <c r="M348" i="19"/>
  <c r="O348" i="19" s="1"/>
  <c r="N348" i="19"/>
  <c r="P348" i="19"/>
  <c r="Q348" i="19"/>
  <c r="R348" i="19"/>
  <c r="S348" i="19"/>
  <c r="T348" i="19"/>
  <c r="U348" i="19"/>
  <c r="V348" i="19"/>
  <c r="M349" i="19"/>
  <c r="N349" i="19"/>
  <c r="O349" i="19"/>
  <c r="P349" i="19"/>
  <c r="Q349" i="19"/>
  <c r="R349" i="19"/>
  <c r="S349" i="19"/>
  <c r="U349" i="19"/>
  <c r="V349" i="19"/>
  <c r="M350" i="19"/>
  <c r="O350" i="19" s="1"/>
  <c r="N350" i="19"/>
  <c r="P350" i="19"/>
  <c r="Q350" i="19"/>
  <c r="R350" i="19"/>
  <c r="S350" i="19"/>
  <c r="T350" i="19"/>
  <c r="U350" i="19"/>
  <c r="V350" i="19"/>
  <c r="M351" i="19"/>
  <c r="N351" i="19"/>
  <c r="O351" i="19"/>
  <c r="P351" i="19"/>
  <c r="Q351" i="19"/>
  <c r="R351" i="19"/>
  <c r="S351" i="19"/>
  <c r="T351" i="19"/>
  <c r="U351" i="19"/>
  <c r="V351" i="19"/>
  <c r="M352" i="19"/>
  <c r="O352" i="19" s="1"/>
  <c r="N352" i="19"/>
  <c r="P352" i="19"/>
  <c r="Q352" i="19"/>
  <c r="R352" i="19"/>
  <c r="S352" i="19"/>
  <c r="T352" i="19"/>
  <c r="U352" i="19"/>
  <c r="V352" i="19"/>
  <c r="M353" i="19"/>
  <c r="N353" i="19"/>
  <c r="O353" i="19"/>
  <c r="P353" i="19"/>
  <c r="Q353" i="19"/>
  <c r="R353" i="19"/>
  <c r="S353" i="19"/>
  <c r="T353" i="19"/>
  <c r="U353" i="19"/>
  <c r="V353" i="19"/>
  <c r="M354" i="19"/>
  <c r="O354" i="19" s="1"/>
  <c r="N354" i="19"/>
  <c r="P354" i="19"/>
  <c r="Q354" i="19"/>
  <c r="R354" i="19"/>
  <c r="S354" i="19"/>
  <c r="T354" i="19"/>
  <c r="U354" i="19"/>
  <c r="V354" i="19"/>
  <c r="M355" i="19"/>
  <c r="N355" i="19"/>
  <c r="O355" i="19"/>
  <c r="P355" i="19"/>
  <c r="Q355" i="19"/>
  <c r="R355" i="19"/>
  <c r="S355" i="19"/>
  <c r="T355" i="19"/>
  <c r="U355" i="19"/>
  <c r="V355" i="19"/>
  <c r="M356" i="19"/>
  <c r="O356" i="19" s="1"/>
  <c r="N356" i="19"/>
  <c r="P356" i="19"/>
  <c r="Q356" i="19"/>
  <c r="R356" i="19"/>
  <c r="S356" i="19"/>
  <c r="T356" i="19"/>
  <c r="U356" i="19"/>
  <c r="V356" i="19"/>
  <c r="M357" i="19"/>
  <c r="N357" i="19"/>
  <c r="O357" i="19"/>
  <c r="P357" i="19"/>
  <c r="Q357" i="19"/>
  <c r="R357" i="19"/>
  <c r="S357" i="19"/>
  <c r="T357" i="19"/>
  <c r="U357" i="19"/>
  <c r="V357" i="19"/>
  <c r="M358" i="19"/>
  <c r="O358" i="19" s="1"/>
  <c r="N358" i="19"/>
  <c r="P358" i="19"/>
  <c r="Q358" i="19"/>
  <c r="R358" i="19"/>
  <c r="S358" i="19"/>
  <c r="T358" i="19"/>
  <c r="U358" i="19"/>
  <c r="V358" i="19"/>
  <c r="M359" i="19"/>
  <c r="N359" i="19"/>
  <c r="O359" i="19"/>
  <c r="P359" i="19"/>
  <c r="Q359" i="19"/>
  <c r="R359" i="19"/>
  <c r="S359" i="19"/>
  <c r="T359" i="19"/>
  <c r="U359" i="19"/>
  <c r="V359" i="19"/>
  <c r="M360" i="19"/>
  <c r="O360" i="19" s="1"/>
  <c r="N360" i="19"/>
  <c r="P360" i="19"/>
  <c r="Q360" i="19"/>
  <c r="R360" i="19"/>
  <c r="S360" i="19"/>
  <c r="T360" i="19"/>
  <c r="U360" i="19"/>
  <c r="V360" i="19"/>
  <c r="M361" i="19"/>
  <c r="N361" i="19"/>
  <c r="O361" i="19"/>
  <c r="P361" i="19"/>
  <c r="Q361" i="19"/>
  <c r="R361" i="19"/>
  <c r="S361" i="19"/>
  <c r="T361" i="19"/>
  <c r="U361" i="19"/>
  <c r="V361" i="19"/>
  <c r="M362" i="19"/>
  <c r="O362" i="19" s="1"/>
  <c r="N362" i="19"/>
  <c r="P362" i="19"/>
  <c r="Q362" i="19"/>
  <c r="R362" i="19"/>
  <c r="S362" i="19"/>
  <c r="T362" i="19"/>
  <c r="U362" i="19"/>
  <c r="V362" i="19"/>
  <c r="M363" i="19"/>
  <c r="N363" i="19"/>
  <c r="O363" i="19"/>
  <c r="P363" i="19"/>
  <c r="Q363" i="19"/>
  <c r="R363" i="19"/>
  <c r="S363" i="19"/>
  <c r="T363" i="19"/>
  <c r="U363" i="19"/>
  <c r="V363" i="19"/>
  <c r="M364" i="19"/>
  <c r="O364" i="19" s="1"/>
  <c r="N364" i="19"/>
  <c r="P364" i="19"/>
  <c r="Q364" i="19"/>
  <c r="R364" i="19"/>
  <c r="S364" i="19"/>
  <c r="T364" i="19"/>
  <c r="U364" i="19"/>
  <c r="V364" i="19"/>
  <c r="M365" i="19"/>
  <c r="N365" i="19"/>
  <c r="O365" i="19"/>
  <c r="P365" i="19"/>
  <c r="Q365" i="19"/>
  <c r="R365" i="19"/>
  <c r="S365" i="19"/>
  <c r="T365" i="19"/>
  <c r="U365" i="19"/>
  <c r="V365" i="19"/>
  <c r="M366" i="19"/>
  <c r="O366" i="19" s="1"/>
  <c r="Q366" i="19"/>
  <c r="R366" i="19"/>
  <c r="S366" i="19"/>
  <c r="T366" i="19"/>
  <c r="U366" i="19"/>
  <c r="V366" i="19"/>
  <c r="M367" i="19"/>
  <c r="N367" i="19"/>
  <c r="O367" i="19"/>
  <c r="P367" i="19"/>
  <c r="Q367" i="19"/>
  <c r="R367" i="19"/>
  <c r="S367" i="19"/>
  <c r="T367" i="19"/>
  <c r="U367" i="19"/>
  <c r="V367" i="19"/>
  <c r="M368" i="19"/>
  <c r="O368" i="19" s="1"/>
  <c r="N368" i="19"/>
  <c r="Q368" i="19"/>
  <c r="R368" i="19"/>
  <c r="S368" i="19"/>
  <c r="T368" i="19"/>
  <c r="U368" i="19"/>
  <c r="V368" i="19"/>
  <c r="M369" i="19"/>
  <c r="N369" i="19"/>
  <c r="O369" i="19"/>
  <c r="P369" i="19"/>
  <c r="Q369" i="19"/>
  <c r="R369" i="19"/>
  <c r="S369" i="19"/>
  <c r="T369" i="19"/>
  <c r="U369" i="19"/>
  <c r="V369" i="19"/>
  <c r="M370" i="19"/>
  <c r="O370" i="19" s="1"/>
  <c r="N370" i="19"/>
  <c r="P370" i="19"/>
  <c r="Q370" i="19"/>
  <c r="R370" i="19"/>
  <c r="S370" i="19"/>
  <c r="T370" i="19"/>
  <c r="U370" i="19"/>
  <c r="V370" i="19"/>
  <c r="M371" i="19"/>
  <c r="N371" i="19"/>
  <c r="O371" i="19"/>
  <c r="P371" i="19"/>
  <c r="Q371" i="19"/>
  <c r="R371" i="19"/>
  <c r="S371" i="19"/>
  <c r="T371" i="19"/>
  <c r="U371" i="19"/>
  <c r="V371" i="19"/>
  <c r="M372" i="19"/>
  <c r="O372" i="19" s="1"/>
  <c r="N372" i="19"/>
  <c r="P372" i="19"/>
  <c r="Q372" i="19"/>
  <c r="R372" i="19"/>
  <c r="S372" i="19"/>
  <c r="T372" i="19"/>
  <c r="U372" i="19"/>
  <c r="V372" i="19"/>
  <c r="M373" i="19"/>
  <c r="N373" i="19"/>
  <c r="O373" i="19"/>
  <c r="P373" i="19"/>
  <c r="Q373" i="19"/>
  <c r="R373" i="19"/>
  <c r="S373" i="19"/>
  <c r="T373" i="19"/>
  <c r="U373" i="19"/>
  <c r="V373" i="19"/>
  <c r="M374" i="19"/>
  <c r="O374" i="19" s="1"/>
  <c r="Q374" i="19"/>
  <c r="R374" i="19"/>
  <c r="S374" i="19"/>
  <c r="T374" i="19"/>
  <c r="U374" i="19"/>
  <c r="V374" i="19"/>
  <c r="M375" i="19"/>
  <c r="N375" i="19"/>
  <c r="O375" i="19"/>
  <c r="P375" i="19"/>
  <c r="Q375" i="19"/>
  <c r="R375" i="19"/>
  <c r="S375" i="19"/>
  <c r="T375" i="19"/>
  <c r="U375" i="19"/>
  <c r="V375" i="19"/>
  <c r="M376" i="19"/>
  <c r="O376" i="19" s="1"/>
  <c r="N376" i="19"/>
  <c r="Q376" i="19"/>
  <c r="R376" i="19"/>
  <c r="S376" i="19"/>
  <c r="T376" i="19"/>
  <c r="U376" i="19"/>
  <c r="V376" i="19"/>
  <c r="M377" i="19"/>
  <c r="N377" i="19"/>
  <c r="O377" i="19"/>
  <c r="P377" i="19"/>
  <c r="Q377" i="19"/>
  <c r="R377" i="19"/>
  <c r="S377" i="19"/>
  <c r="T377" i="19"/>
  <c r="U377" i="19"/>
  <c r="V377" i="19"/>
  <c r="M378" i="19"/>
  <c r="O378" i="19" s="1"/>
  <c r="N378" i="19"/>
  <c r="P378" i="19"/>
  <c r="Q378" i="19"/>
  <c r="R378" i="19"/>
  <c r="S378" i="19"/>
  <c r="T378" i="19"/>
  <c r="U378" i="19"/>
  <c r="V378" i="19"/>
  <c r="M379" i="19"/>
  <c r="N379" i="19"/>
  <c r="O379" i="19"/>
  <c r="P379" i="19"/>
  <c r="Q379" i="19"/>
  <c r="R379" i="19"/>
  <c r="S379" i="19"/>
  <c r="T379" i="19"/>
  <c r="U379" i="19"/>
  <c r="V379" i="19"/>
  <c r="M380" i="19"/>
  <c r="O380" i="19" s="1"/>
  <c r="N380" i="19"/>
  <c r="P380" i="19"/>
  <c r="Q380" i="19"/>
  <c r="R380" i="19"/>
  <c r="S380" i="19"/>
  <c r="T380" i="19"/>
  <c r="U380" i="19"/>
  <c r="V380" i="19"/>
  <c r="M381" i="19"/>
  <c r="N381" i="19"/>
  <c r="O381" i="19"/>
  <c r="P381" i="19"/>
  <c r="Q381" i="19"/>
  <c r="R381" i="19"/>
  <c r="S381" i="19"/>
  <c r="T381" i="19"/>
  <c r="U381" i="19"/>
  <c r="V381" i="19"/>
  <c r="M382" i="19"/>
  <c r="O382" i="19" s="1"/>
  <c r="Q382" i="19"/>
  <c r="R382" i="19"/>
  <c r="S382" i="19"/>
  <c r="T382" i="19"/>
  <c r="U382" i="19"/>
  <c r="V382" i="19"/>
  <c r="M383" i="19"/>
  <c r="N383" i="19"/>
  <c r="O383" i="19"/>
  <c r="P383" i="19"/>
  <c r="Q383" i="19"/>
  <c r="R383" i="19"/>
  <c r="S383" i="19"/>
  <c r="T383" i="19"/>
  <c r="U383" i="19"/>
  <c r="V383" i="19"/>
  <c r="M384" i="19"/>
  <c r="O384" i="19" s="1"/>
  <c r="N384" i="19"/>
  <c r="Q384" i="19"/>
  <c r="R384" i="19"/>
  <c r="S384" i="19"/>
  <c r="T384" i="19"/>
  <c r="U384" i="19"/>
  <c r="V384" i="19"/>
  <c r="M385" i="19"/>
  <c r="N385" i="19" s="1"/>
  <c r="Q385" i="19"/>
  <c r="R385" i="19"/>
  <c r="S385" i="19"/>
  <c r="T385" i="19"/>
  <c r="U385" i="19"/>
  <c r="V385" i="19"/>
  <c r="M386" i="19"/>
  <c r="P386" i="19" s="1"/>
  <c r="N386" i="19"/>
  <c r="O386" i="19"/>
  <c r="Q386" i="19"/>
  <c r="R386" i="19"/>
  <c r="S386" i="19"/>
  <c r="T386" i="19"/>
  <c r="U386" i="19"/>
  <c r="V386" i="19"/>
  <c r="M387" i="19"/>
  <c r="N387" i="19" s="1"/>
  <c r="P387" i="19"/>
  <c r="Q387" i="19"/>
  <c r="R387" i="19"/>
  <c r="S387" i="19"/>
  <c r="T387" i="19"/>
  <c r="U387" i="19"/>
  <c r="V387" i="19"/>
  <c r="D350" i="19"/>
  <c r="E350" i="19"/>
  <c r="F350" i="19"/>
  <c r="G350" i="19"/>
  <c r="H350" i="19"/>
  <c r="I350" i="19"/>
  <c r="D351" i="19"/>
  <c r="E351" i="19"/>
  <c r="F351" i="19"/>
  <c r="G351" i="19"/>
  <c r="H351" i="19"/>
  <c r="I351" i="19"/>
  <c r="D352" i="19"/>
  <c r="E352" i="19"/>
  <c r="F352" i="19"/>
  <c r="G352" i="19"/>
  <c r="H352" i="19"/>
  <c r="I352" i="19"/>
  <c r="D353" i="19"/>
  <c r="E353" i="19"/>
  <c r="F353" i="19"/>
  <c r="G353" i="19"/>
  <c r="H353" i="19"/>
  <c r="I353" i="19"/>
  <c r="D354" i="19"/>
  <c r="E354" i="19"/>
  <c r="F354" i="19"/>
  <c r="G354" i="19"/>
  <c r="H354" i="19"/>
  <c r="I354" i="19"/>
  <c r="D355" i="19"/>
  <c r="E355" i="19"/>
  <c r="F355" i="19"/>
  <c r="G355" i="19"/>
  <c r="H355" i="19"/>
  <c r="I355" i="19"/>
  <c r="D356" i="19"/>
  <c r="E356" i="19"/>
  <c r="F356" i="19"/>
  <c r="G356" i="19"/>
  <c r="H356" i="19"/>
  <c r="I356" i="19"/>
  <c r="D357" i="19"/>
  <c r="E357" i="19"/>
  <c r="F357" i="19"/>
  <c r="G357" i="19"/>
  <c r="H357" i="19"/>
  <c r="I357" i="19"/>
  <c r="D358" i="19"/>
  <c r="E358" i="19"/>
  <c r="F358" i="19"/>
  <c r="G358" i="19"/>
  <c r="H358" i="19"/>
  <c r="I358" i="19"/>
  <c r="D359" i="19"/>
  <c r="E359" i="19"/>
  <c r="F359" i="19"/>
  <c r="G359" i="19"/>
  <c r="H359" i="19"/>
  <c r="I359" i="19"/>
  <c r="D360" i="19"/>
  <c r="E360" i="19"/>
  <c r="F360" i="19"/>
  <c r="G360" i="19"/>
  <c r="H360" i="19"/>
  <c r="I360" i="19"/>
  <c r="D361" i="19"/>
  <c r="E361" i="19"/>
  <c r="F361" i="19"/>
  <c r="G361" i="19"/>
  <c r="H361" i="19"/>
  <c r="I361" i="19"/>
  <c r="D362" i="19"/>
  <c r="E362" i="19"/>
  <c r="F362" i="19"/>
  <c r="G362" i="19"/>
  <c r="H362" i="19"/>
  <c r="I362" i="19"/>
  <c r="D363" i="19"/>
  <c r="E363" i="19"/>
  <c r="F363" i="19"/>
  <c r="G363" i="19"/>
  <c r="H363" i="19"/>
  <c r="I363" i="19"/>
  <c r="D364" i="19"/>
  <c r="E364" i="19"/>
  <c r="F364" i="19"/>
  <c r="G364" i="19"/>
  <c r="H364" i="19"/>
  <c r="I364" i="19"/>
  <c r="D365" i="19"/>
  <c r="E365" i="19"/>
  <c r="F365" i="19"/>
  <c r="G365" i="19"/>
  <c r="H365" i="19"/>
  <c r="I365" i="19"/>
  <c r="D366" i="19"/>
  <c r="E366" i="19"/>
  <c r="F366" i="19"/>
  <c r="G366" i="19"/>
  <c r="H366" i="19"/>
  <c r="I366" i="19"/>
  <c r="D367" i="19"/>
  <c r="E367" i="19"/>
  <c r="F367" i="19"/>
  <c r="G367" i="19"/>
  <c r="H367" i="19"/>
  <c r="I367" i="19"/>
  <c r="D368" i="19"/>
  <c r="E368" i="19"/>
  <c r="F368" i="19"/>
  <c r="G368" i="19"/>
  <c r="H368" i="19"/>
  <c r="I368" i="19"/>
  <c r="D369" i="19"/>
  <c r="E369" i="19"/>
  <c r="F369" i="19"/>
  <c r="G369" i="19"/>
  <c r="H369" i="19"/>
  <c r="I369" i="19"/>
  <c r="D370" i="19"/>
  <c r="E370" i="19"/>
  <c r="F370" i="19"/>
  <c r="G370" i="19"/>
  <c r="H370" i="19"/>
  <c r="I370" i="19"/>
  <c r="D371" i="19"/>
  <c r="E371" i="19"/>
  <c r="F371" i="19"/>
  <c r="G371" i="19"/>
  <c r="H371" i="19"/>
  <c r="I371" i="19"/>
  <c r="D372" i="19"/>
  <c r="E372" i="19"/>
  <c r="F372" i="19"/>
  <c r="G372" i="19"/>
  <c r="H372" i="19"/>
  <c r="I372" i="19"/>
  <c r="D373" i="19"/>
  <c r="E373" i="19"/>
  <c r="F373" i="19"/>
  <c r="G373" i="19"/>
  <c r="H373" i="19"/>
  <c r="I373" i="19"/>
  <c r="D374" i="19"/>
  <c r="E374" i="19"/>
  <c r="F374" i="19"/>
  <c r="G374" i="19"/>
  <c r="H374" i="19"/>
  <c r="I374" i="19"/>
  <c r="D375" i="19"/>
  <c r="E375" i="19"/>
  <c r="F375" i="19"/>
  <c r="G375" i="19"/>
  <c r="H375" i="19"/>
  <c r="I375" i="19"/>
  <c r="D376" i="19"/>
  <c r="E376" i="19"/>
  <c r="F376" i="19"/>
  <c r="G376" i="19"/>
  <c r="H376" i="19"/>
  <c r="I376" i="19"/>
  <c r="D377" i="19"/>
  <c r="E377" i="19"/>
  <c r="F377" i="19"/>
  <c r="G377" i="19"/>
  <c r="H377" i="19"/>
  <c r="I377" i="19"/>
  <c r="D378" i="19"/>
  <c r="E378" i="19"/>
  <c r="F378" i="19"/>
  <c r="G378" i="19"/>
  <c r="H378" i="19"/>
  <c r="I378" i="19"/>
  <c r="D379" i="19"/>
  <c r="E379" i="19"/>
  <c r="F379" i="19"/>
  <c r="G379" i="19"/>
  <c r="H379" i="19"/>
  <c r="I379" i="19"/>
  <c r="D380" i="19"/>
  <c r="E380" i="19"/>
  <c r="F380" i="19"/>
  <c r="G380" i="19"/>
  <c r="H380" i="19"/>
  <c r="I380" i="19"/>
  <c r="D381" i="19"/>
  <c r="E381" i="19"/>
  <c r="F381" i="19"/>
  <c r="G381" i="19"/>
  <c r="H381" i="19"/>
  <c r="I381" i="19"/>
  <c r="D382" i="19"/>
  <c r="E382" i="19"/>
  <c r="F382" i="19"/>
  <c r="G382" i="19"/>
  <c r="H382" i="19"/>
  <c r="I382" i="19"/>
  <c r="D383" i="19"/>
  <c r="E383" i="19"/>
  <c r="F383" i="19"/>
  <c r="G383" i="19"/>
  <c r="H383" i="19"/>
  <c r="I383" i="19"/>
  <c r="D384" i="19"/>
  <c r="E384" i="19"/>
  <c r="F384" i="19"/>
  <c r="G384" i="19"/>
  <c r="H384" i="19"/>
  <c r="I384" i="19"/>
  <c r="D385" i="19"/>
  <c r="E385" i="19"/>
  <c r="F385" i="19"/>
  <c r="G385" i="19"/>
  <c r="H385" i="19"/>
  <c r="I385" i="19"/>
  <c r="D386" i="19"/>
  <c r="E386" i="19"/>
  <c r="F386" i="19"/>
  <c r="G386" i="19"/>
  <c r="H386" i="19"/>
  <c r="I386" i="19"/>
  <c r="D387" i="19"/>
  <c r="E387" i="19"/>
  <c r="F387" i="19"/>
  <c r="G387" i="19"/>
  <c r="H387" i="19"/>
  <c r="I387" i="19"/>
  <c r="T3" i="20"/>
  <c r="U3" i="20"/>
  <c r="V3" i="20"/>
  <c r="W3" i="20"/>
  <c r="X3" i="20"/>
  <c r="Y3" i="20"/>
  <c r="Z3" i="20"/>
  <c r="AA3" i="20"/>
  <c r="AB3" i="20"/>
  <c r="AC3" i="20"/>
  <c r="AD3" i="20"/>
  <c r="AE3" i="20"/>
  <c r="AF3" i="20"/>
  <c r="AG3" i="20"/>
  <c r="AH3" i="20"/>
  <c r="T4" i="20"/>
  <c r="U4" i="20"/>
  <c r="V4" i="20"/>
  <c r="W4" i="20"/>
  <c r="X4" i="20"/>
  <c r="Y4" i="20"/>
  <c r="Z4" i="20"/>
  <c r="AA4" i="20"/>
  <c r="AB4" i="20"/>
  <c r="AC4" i="20"/>
  <c r="AD4" i="20"/>
  <c r="AE4" i="20"/>
  <c r="AF4" i="20"/>
  <c r="AG4" i="20"/>
  <c r="AH4" i="20"/>
  <c r="T5" i="20"/>
  <c r="U5" i="20"/>
  <c r="V5" i="20"/>
  <c r="W5" i="20"/>
  <c r="X5" i="20"/>
  <c r="Y5" i="20"/>
  <c r="Z5" i="20"/>
  <c r="AA5" i="20"/>
  <c r="AB5" i="20"/>
  <c r="AC5" i="20"/>
  <c r="AD5" i="20"/>
  <c r="AE5" i="20"/>
  <c r="AF5" i="20"/>
  <c r="AG5" i="20"/>
  <c r="AH5" i="20"/>
  <c r="T6" i="20"/>
  <c r="U6" i="20"/>
  <c r="V6" i="20"/>
  <c r="W6" i="20"/>
  <c r="X6" i="20"/>
  <c r="Y6" i="20"/>
  <c r="Z6" i="20"/>
  <c r="AA6" i="20"/>
  <c r="AB6" i="20"/>
  <c r="AC6" i="20"/>
  <c r="AD6" i="20"/>
  <c r="AE6" i="20"/>
  <c r="AF6" i="20"/>
  <c r="AG6" i="20"/>
  <c r="AH6" i="20"/>
  <c r="T7" i="20"/>
  <c r="U7" i="20"/>
  <c r="V7" i="20"/>
  <c r="W7" i="20"/>
  <c r="X7" i="20"/>
  <c r="Y7" i="20"/>
  <c r="Z7" i="20"/>
  <c r="AA7" i="20"/>
  <c r="AB7" i="20"/>
  <c r="AC7" i="20"/>
  <c r="AD7" i="20"/>
  <c r="AE7" i="20"/>
  <c r="AF7" i="20"/>
  <c r="AG7" i="20"/>
  <c r="AH7" i="20"/>
  <c r="T8" i="20"/>
  <c r="U8" i="20"/>
  <c r="V8" i="20"/>
  <c r="W8" i="20"/>
  <c r="X8" i="20"/>
  <c r="Y8" i="20"/>
  <c r="Z8" i="20"/>
  <c r="AA8" i="20"/>
  <c r="AB8" i="20"/>
  <c r="AC8" i="20"/>
  <c r="AD8" i="20"/>
  <c r="AE8" i="20"/>
  <c r="AF8" i="20"/>
  <c r="AG8" i="20"/>
  <c r="AH8" i="20"/>
  <c r="T9" i="20"/>
  <c r="U9" i="20"/>
  <c r="V9" i="20"/>
  <c r="W9" i="20"/>
  <c r="X9" i="20"/>
  <c r="Y9" i="20"/>
  <c r="Z9" i="20"/>
  <c r="AA9" i="20"/>
  <c r="AB9" i="20"/>
  <c r="AC9" i="20"/>
  <c r="AD9" i="20"/>
  <c r="AE9" i="20"/>
  <c r="AF9" i="20"/>
  <c r="AG9" i="20"/>
  <c r="AH9" i="20"/>
  <c r="T10" i="20"/>
  <c r="U10" i="20"/>
  <c r="V10" i="20"/>
  <c r="W10" i="20"/>
  <c r="X10" i="20"/>
  <c r="Y10" i="20"/>
  <c r="Z10" i="20"/>
  <c r="AA10" i="20"/>
  <c r="AB10" i="20"/>
  <c r="AC10" i="20"/>
  <c r="AD10" i="20"/>
  <c r="AE10" i="20"/>
  <c r="AF10" i="20"/>
  <c r="AG10" i="20"/>
  <c r="AH10" i="20"/>
  <c r="T11" i="20"/>
  <c r="U11" i="20"/>
  <c r="V11" i="20"/>
  <c r="W11" i="20"/>
  <c r="X11" i="20"/>
  <c r="Y11" i="20"/>
  <c r="Z11" i="20"/>
  <c r="AA11" i="20"/>
  <c r="AB11" i="20"/>
  <c r="AC11" i="20"/>
  <c r="AD11" i="20"/>
  <c r="AE11" i="20"/>
  <c r="AF11" i="20"/>
  <c r="AG11" i="20"/>
  <c r="AH11" i="20"/>
  <c r="T12" i="20"/>
  <c r="U12" i="20"/>
  <c r="V12" i="20"/>
  <c r="W12" i="20"/>
  <c r="X12" i="20"/>
  <c r="Y12" i="20"/>
  <c r="Z12" i="20"/>
  <c r="AA12" i="20"/>
  <c r="AB12" i="20"/>
  <c r="AC12" i="20"/>
  <c r="AD12" i="20"/>
  <c r="AE12" i="20"/>
  <c r="AF12" i="20"/>
  <c r="AG12" i="20"/>
  <c r="AH12" i="20"/>
  <c r="T13" i="20"/>
  <c r="U13" i="20"/>
  <c r="V13" i="20"/>
  <c r="W13" i="20"/>
  <c r="X13" i="20"/>
  <c r="Y13" i="20"/>
  <c r="Z13" i="20"/>
  <c r="AA13" i="20"/>
  <c r="AB13" i="20"/>
  <c r="AC13" i="20"/>
  <c r="AD13" i="20"/>
  <c r="AE13" i="20"/>
  <c r="AF13" i="20"/>
  <c r="AG13" i="20"/>
  <c r="AH13" i="20"/>
  <c r="T14" i="20"/>
  <c r="U14" i="20"/>
  <c r="V14" i="20"/>
  <c r="W14" i="20"/>
  <c r="X14" i="20"/>
  <c r="Y14" i="20"/>
  <c r="Z14" i="20"/>
  <c r="AA14" i="20"/>
  <c r="AB14" i="20"/>
  <c r="AC14" i="20"/>
  <c r="AD14" i="20"/>
  <c r="AE14" i="20"/>
  <c r="AF14" i="20"/>
  <c r="AG14" i="20"/>
  <c r="AH14" i="20"/>
  <c r="T15" i="20"/>
  <c r="U15" i="20"/>
  <c r="V15" i="20"/>
  <c r="W15" i="20"/>
  <c r="X15" i="20"/>
  <c r="Y15" i="20"/>
  <c r="Z15" i="20"/>
  <c r="AA15" i="20"/>
  <c r="AB15" i="20"/>
  <c r="AC15" i="20"/>
  <c r="AD15" i="20"/>
  <c r="AE15" i="20"/>
  <c r="AF15" i="20"/>
  <c r="AG15" i="20"/>
  <c r="AH15" i="20"/>
  <c r="T16" i="20"/>
  <c r="U16" i="20"/>
  <c r="V16" i="20"/>
  <c r="W16" i="20"/>
  <c r="X16" i="20"/>
  <c r="Y16" i="20"/>
  <c r="Z16" i="20"/>
  <c r="AA16" i="20"/>
  <c r="AB16" i="20"/>
  <c r="AC16" i="20"/>
  <c r="AD16" i="20"/>
  <c r="AE16" i="20"/>
  <c r="AF16" i="20"/>
  <c r="AG16" i="20"/>
  <c r="AH16" i="20"/>
  <c r="T17" i="20"/>
  <c r="U17" i="20"/>
  <c r="V17" i="20"/>
  <c r="W17" i="20"/>
  <c r="X17" i="20"/>
  <c r="Y17" i="20"/>
  <c r="Z17" i="20"/>
  <c r="AA17" i="20"/>
  <c r="AB17" i="20"/>
  <c r="AC17" i="20"/>
  <c r="AD17" i="20"/>
  <c r="AE17" i="20"/>
  <c r="AF17" i="20"/>
  <c r="AG17" i="20"/>
  <c r="AH17" i="20"/>
  <c r="T18" i="20"/>
  <c r="U18" i="20"/>
  <c r="V18" i="20"/>
  <c r="W18" i="20"/>
  <c r="X18" i="20"/>
  <c r="Y18" i="20"/>
  <c r="Z18" i="20"/>
  <c r="AA18" i="20"/>
  <c r="AB18" i="20"/>
  <c r="AC18" i="20"/>
  <c r="AD18" i="20"/>
  <c r="AE18" i="20"/>
  <c r="AF18" i="20"/>
  <c r="AG18" i="20"/>
  <c r="AH18" i="20"/>
  <c r="T19" i="20"/>
  <c r="U19" i="20"/>
  <c r="V19" i="20"/>
  <c r="W19" i="20"/>
  <c r="X19" i="20"/>
  <c r="Y19" i="20"/>
  <c r="Z19" i="20"/>
  <c r="AA19" i="20"/>
  <c r="AB19" i="20"/>
  <c r="AC19" i="20"/>
  <c r="AD19" i="20"/>
  <c r="AE19" i="20"/>
  <c r="AF19" i="20"/>
  <c r="AG19" i="20"/>
  <c r="AH19" i="20"/>
  <c r="T20" i="20"/>
  <c r="U20" i="20"/>
  <c r="V20" i="20"/>
  <c r="W20" i="20"/>
  <c r="X20" i="20"/>
  <c r="Y20" i="20"/>
  <c r="Z20" i="20"/>
  <c r="AA20" i="20"/>
  <c r="AB20" i="20"/>
  <c r="AC20" i="20"/>
  <c r="AD20" i="20"/>
  <c r="AE20" i="20"/>
  <c r="AF20" i="20"/>
  <c r="AG20" i="20"/>
  <c r="AH20" i="20"/>
  <c r="T21" i="20"/>
  <c r="U21" i="20"/>
  <c r="V21" i="20"/>
  <c r="W21" i="20"/>
  <c r="X21" i="20"/>
  <c r="Y21" i="20"/>
  <c r="Z21" i="20"/>
  <c r="AA21" i="20"/>
  <c r="AB21" i="20"/>
  <c r="AC21" i="20"/>
  <c r="AD21" i="20"/>
  <c r="AE21" i="20"/>
  <c r="AF21" i="20"/>
  <c r="AG21" i="20"/>
  <c r="AH21" i="20"/>
  <c r="T22" i="20"/>
  <c r="U22" i="20"/>
  <c r="V22" i="20"/>
  <c r="W22" i="20"/>
  <c r="X22" i="20"/>
  <c r="Y22" i="20"/>
  <c r="Z22" i="20"/>
  <c r="AA22" i="20"/>
  <c r="AB22" i="20"/>
  <c r="AC22" i="20"/>
  <c r="AD22" i="20"/>
  <c r="AE22" i="20"/>
  <c r="AF22" i="20"/>
  <c r="AG22" i="20"/>
  <c r="AH22" i="20"/>
  <c r="T23" i="20"/>
  <c r="U23" i="20"/>
  <c r="V23" i="20"/>
  <c r="W23" i="20"/>
  <c r="X23" i="20"/>
  <c r="Y23" i="20"/>
  <c r="Z23" i="20"/>
  <c r="AA23" i="20"/>
  <c r="AB23" i="20"/>
  <c r="AC23" i="20"/>
  <c r="AD23" i="20"/>
  <c r="AE23" i="20"/>
  <c r="AF23" i="20"/>
  <c r="AG23" i="20"/>
  <c r="AH23" i="20"/>
  <c r="T24" i="20"/>
  <c r="U24" i="20"/>
  <c r="V24" i="20"/>
  <c r="W24" i="20"/>
  <c r="X24" i="20"/>
  <c r="Y24" i="20"/>
  <c r="Z24" i="20"/>
  <c r="AA24" i="20"/>
  <c r="AB24" i="20"/>
  <c r="AC24" i="20"/>
  <c r="AD24" i="20"/>
  <c r="AE24" i="20"/>
  <c r="AF24" i="20"/>
  <c r="AG24" i="20"/>
  <c r="AH24" i="20"/>
  <c r="T25" i="20"/>
  <c r="U25" i="20"/>
  <c r="V25" i="20"/>
  <c r="W25" i="20"/>
  <c r="X25" i="20"/>
  <c r="Y25" i="20"/>
  <c r="Z25" i="20"/>
  <c r="AA25" i="20"/>
  <c r="AB25" i="20"/>
  <c r="AC25" i="20"/>
  <c r="AD25" i="20"/>
  <c r="AE25" i="20"/>
  <c r="AF25" i="20"/>
  <c r="AG25" i="20"/>
  <c r="AH25" i="20"/>
  <c r="T26" i="20"/>
  <c r="U26" i="20"/>
  <c r="V26" i="20"/>
  <c r="W26" i="20"/>
  <c r="X26" i="20"/>
  <c r="Y26" i="20"/>
  <c r="Z26" i="20"/>
  <c r="AA26" i="20"/>
  <c r="AB26" i="20"/>
  <c r="AC26" i="20"/>
  <c r="AD26" i="20"/>
  <c r="AE26" i="20"/>
  <c r="AF26" i="20"/>
  <c r="AG26" i="20"/>
  <c r="AH26" i="20"/>
  <c r="T27" i="20"/>
  <c r="U27" i="20"/>
  <c r="V27" i="20"/>
  <c r="W27" i="20"/>
  <c r="X27" i="20"/>
  <c r="Y27" i="20"/>
  <c r="Z27" i="20"/>
  <c r="AA27" i="20"/>
  <c r="AB27" i="20"/>
  <c r="AC27" i="20"/>
  <c r="AD27" i="20"/>
  <c r="AE27" i="20"/>
  <c r="AF27" i="20"/>
  <c r="AG27" i="20"/>
  <c r="AH27" i="20"/>
  <c r="T28" i="20"/>
  <c r="U28" i="20"/>
  <c r="V28" i="20"/>
  <c r="W28" i="20"/>
  <c r="X28" i="20"/>
  <c r="Y28" i="20"/>
  <c r="Z28" i="20"/>
  <c r="AA28" i="20"/>
  <c r="AB28" i="20"/>
  <c r="AC28" i="20"/>
  <c r="AD28" i="20"/>
  <c r="AE28" i="20"/>
  <c r="AF28" i="20"/>
  <c r="AG28" i="20"/>
  <c r="AH28" i="20"/>
  <c r="T29" i="20"/>
  <c r="U29" i="20"/>
  <c r="V29" i="20"/>
  <c r="W29" i="20"/>
  <c r="X29" i="20"/>
  <c r="Y29" i="20"/>
  <c r="Z29" i="20"/>
  <c r="AA29" i="20"/>
  <c r="AB29" i="20"/>
  <c r="AC29" i="20"/>
  <c r="AD29" i="20"/>
  <c r="AE29" i="20"/>
  <c r="AF29" i="20"/>
  <c r="AG29" i="20"/>
  <c r="AH29" i="20"/>
  <c r="T30" i="20"/>
  <c r="U30" i="20"/>
  <c r="V30" i="20"/>
  <c r="W30" i="20"/>
  <c r="X30" i="20"/>
  <c r="Y30" i="20"/>
  <c r="Z30" i="20"/>
  <c r="AA30" i="20"/>
  <c r="AB30" i="20"/>
  <c r="AC30" i="20"/>
  <c r="AD30" i="20"/>
  <c r="AE30" i="20"/>
  <c r="AF30" i="20"/>
  <c r="AG30" i="20"/>
  <c r="AH30" i="20"/>
  <c r="T31" i="20"/>
  <c r="U31" i="20"/>
  <c r="V31" i="20"/>
  <c r="W31" i="20"/>
  <c r="X31" i="20"/>
  <c r="Y31" i="20"/>
  <c r="Z31" i="20"/>
  <c r="AA31" i="20"/>
  <c r="AB31" i="20"/>
  <c r="AC31" i="20"/>
  <c r="AD31" i="20"/>
  <c r="AE31" i="20"/>
  <c r="AF31" i="20"/>
  <c r="AG31" i="20"/>
  <c r="AH31" i="20"/>
  <c r="T32" i="20"/>
  <c r="U32" i="20"/>
  <c r="V32" i="20"/>
  <c r="W32" i="20"/>
  <c r="X32" i="20"/>
  <c r="Y32" i="20"/>
  <c r="Z32" i="20"/>
  <c r="AA32" i="20"/>
  <c r="AB32" i="20"/>
  <c r="AC32" i="20"/>
  <c r="AD32" i="20"/>
  <c r="AE32" i="20"/>
  <c r="AF32" i="20"/>
  <c r="AG32" i="20"/>
  <c r="AH32" i="20"/>
  <c r="T33" i="20"/>
  <c r="U33" i="20"/>
  <c r="V33" i="20"/>
  <c r="W33" i="20"/>
  <c r="X33" i="20"/>
  <c r="Y33" i="20"/>
  <c r="Z33" i="20"/>
  <c r="AA33" i="20"/>
  <c r="AB33" i="20"/>
  <c r="AC33" i="20"/>
  <c r="AD33" i="20"/>
  <c r="AE33" i="20"/>
  <c r="AF33" i="20"/>
  <c r="AG33" i="20"/>
  <c r="AH33" i="20"/>
  <c r="T34" i="20"/>
  <c r="U34" i="20"/>
  <c r="V34" i="20"/>
  <c r="W34" i="20"/>
  <c r="X34" i="20"/>
  <c r="Y34" i="20"/>
  <c r="Z34" i="20"/>
  <c r="AA34" i="20"/>
  <c r="AB34" i="20"/>
  <c r="AC34" i="20"/>
  <c r="AD34" i="20"/>
  <c r="AE34" i="20"/>
  <c r="AF34" i="20"/>
  <c r="AG34" i="20"/>
  <c r="AH34" i="20"/>
  <c r="T35" i="20"/>
  <c r="U35" i="20"/>
  <c r="V35" i="20"/>
  <c r="W35" i="20"/>
  <c r="X35" i="20"/>
  <c r="Y35" i="20"/>
  <c r="Z35" i="20"/>
  <c r="AA35" i="20"/>
  <c r="AB35" i="20"/>
  <c r="AC35" i="20"/>
  <c r="AD35" i="20"/>
  <c r="AE35" i="20"/>
  <c r="AF35" i="20"/>
  <c r="AG35" i="20"/>
  <c r="AH35" i="20"/>
  <c r="T36" i="20"/>
  <c r="U36" i="20"/>
  <c r="V36" i="20"/>
  <c r="W36" i="20"/>
  <c r="X36" i="20"/>
  <c r="Y36" i="20"/>
  <c r="Z36" i="20"/>
  <c r="AA36" i="20"/>
  <c r="AB36" i="20"/>
  <c r="AC36" i="20"/>
  <c r="AD36" i="20"/>
  <c r="AE36" i="20"/>
  <c r="AF36" i="20"/>
  <c r="AG36" i="20"/>
  <c r="AH36" i="20"/>
  <c r="T37" i="20"/>
  <c r="U37" i="20"/>
  <c r="V37" i="20"/>
  <c r="W37" i="20"/>
  <c r="X37" i="20"/>
  <c r="Y37" i="20"/>
  <c r="Z37" i="20"/>
  <c r="AA37" i="20"/>
  <c r="AB37" i="20"/>
  <c r="AC37" i="20"/>
  <c r="AD37" i="20"/>
  <c r="AE37" i="20"/>
  <c r="AF37" i="20"/>
  <c r="AG37" i="20"/>
  <c r="AH37" i="20"/>
  <c r="T38" i="20"/>
  <c r="U38" i="20"/>
  <c r="V38" i="20"/>
  <c r="W38" i="20"/>
  <c r="X38" i="20"/>
  <c r="Y38" i="20"/>
  <c r="Z38" i="20"/>
  <c r="AA38" i="20"/>
  <c r="AB38" i="20"/>
  <c r="AC38" i="20"/>
  <c r="AD38" i="20"/>
  <c r="AE38" i="20"/>
  <c r="AF38" i="20"/>
  <c r="AG38" i="20"/>
  <c r="AH38" i="20"/>
  <c r="T39" i="20"/>
  <c r="U39" i="20"/>
  <c r="V39" i="20"/>
  <c r="W39" i="20"/>
  <c r="X39" i="20"/>
  <c r="Y39" i="20"/>
  <c r="Z39" i="20"/>
  <c r="AA39" i="20"/>
  <c r="AB39" i="20"/>
  <c r="AC39" i="20"/>
  <c r="AD39" i="20"/>
  <c r="AE39" i="20"/>
  <c r="AF39" i="20"/>
  <c r="AG39" i="20"/>
  <c r="AH39" i="20"/>
  <c r="R3" i="20"/>
  <c r="R4" i="20"/>
  <c r="R5" i="20"/>
  <c r="R6" i="20"/>
  <c r="R7" i="20"/>
  <c r="R8" i="20"/>
  <c r="R9" i="20"/>
  <c r="R10" i="20"/>
  <c r="R11" i="20"/>
  <c r="R12" i="20"/>
  <c r="R13" i="20"/>
  <c r="R14" i="20"/>
  <c r="R15" i="20"/>
  <c r="R16" i="20"/>
  <c r="R17" i="20"/>
  <c r="R18" i="20"/>
  <c r="R19" i="20"/>
  <c r="R20" i="20"/>
  <c r="R21" i="20"/>
  <c r="R22" i="20"/>
  <c r="R23" i="20"/>
  <c r="R24" i="20"/>
  <c r="R25" i="20"/>
  <c r="R26" i="20"/>
  <c r="R27" i="20"/>
  <c r="R28" i="20"/>
  <c r="R29" i="20"/>
  <c r="R30" i="20"/>
  <c r="R31" i="20"/>
  <c r="R32" i="20"/>
  <c r="R33" i="20"/>
  <c r="R34" i="20"/>
  <c r="R35" i="20"/>
  <c r="R36" i="20"/>
  <c r="R37" i="20"/>
  <c r="R38" i="20"/>
  <c r="R39" i="20"/>
  <c r="R2" i="20"/>
  <c r="U2" i="20" s="1"/>
  <c r="D226" i="19"/>
  <c r="E226" i="19"/>
  <c r="F226" i="19"/>
  <c r="G226" i="19"/>
  <c r="H226" i="19"/>
  <c r="I226" i="19"/>
  <c r="D227" i="19"/>
  <c r="E227" i="19"/>
  <c r="F227" i="19"/>
  <c r="G227" i="19"/>
  <c r="H227" i="19"/>
  <c r="I227" i="19"/>
  <c r="D228" i="19"/>
  <c r="E228" i="19"/>
  <c r="F228" i="19"/>
  <c r="G228" i="19"/>
  <c r="H228" i="19"/>
  <c r="I228" i="19"/>
  <c r="D229" i="19"/>
  <c r="E229" i="19"/>
  <c r="F229" i="19"/>
  <c r="G229" i="19"/>
  <c r="H229" i="19"/>
  <c r="I229" i="19"/>
  <c r="D230" i="19"/>
  <c r="E230" i="19"/>
  <c r="F230" i="19"/>
  <c r="G230" i="19"/>
  <c r="H230" i="19"/>
  <c r="I230" i="19"/>
  <c r="D231" i="19"/>
  <c r="E231" i="19"/>
  <c r="F231" i="19"/>
  <c r="G231" i="19"/>
  <c r="H231" i="19"/>
  <c r="I231" i="19"/>
  <c r="D232" i="19"/>
  <c r="E232" i="19"/>
  <c r="F232" i="19"/>
  <c r="G232" i="19"/>
  <c r="H232" i="19"/>
  <c r="I232" i="19"/>
  <c r="D233" i="19"/>
  <c r="E233" i="19"/>
  <c r="F233" i="19"/>
  <c r="G233" i="19"/>
  <c r="H233" i="19"/>
  <c r="I233" i="19"/>
  <c r="D234" i="19"/>
  <c r="E234" i="19"/>
  <c r="F234" i="19"/>
  <c r="G234" i="19"/>
  <c r="H234" i="19"/>
  <c r="I234" i="19"/>
  <c r="D235" i="19"/>
  <c r="E235" i="19"/>
  <c r="F235" i="19"/>
  <c r="G235" i="19"/>
  <c r="H235" i="19"/>
  <c r="I235" i="19"/>
  <c r="D236" i="19"/>
  <c r="E236" i="19"/>
  <c r="F236" i="19"/>
  <c r="G236" i="19"/>
  <c r="H236" i="19"/>
  <c r="I236" i="19"/>
  <c r="D237" i="19"/>
  <c r="E237" i="19"/>
  <c r="F237" i="19"/>
  <c r="G237" i="19"/>
  <c r="H237" i="19"/>
  <c r="I237" i="19"/>
  <c r="D238" i="19"/>
  <c r="E238" i="19"/>
  <c r="F238" i="19"/>
  <c r="G238" i="19"/>
  <c r="H238" i="19"/>
  <c r="I238" i="19"/>
  <c r="D239" i="19"/>
  <c r="E239" i="19"/>
  <c r="F239" i="19"/>
  <c r="G239" i="19"/>
  <c r="H239" i="19"/>
  <c r="I239" i="19"/>
  <c r="D240" i="19"/>
  <c r="E240" i="19"/>
  <c r="F240" i="19"/>
  <c r="G240" i="19"/>
  <c r="H240" i="19"/>
  <c r="I240" i="19"/>
  <c r="D241" i="19"/>
  <c r="E241" i="19"/>
  <c r="F241" i="19"/>
  <c r="G241" i="19"/>
  <c r="H241" i="19"/>
  <c r="I241" i="19"/>
  <c r="D242" i="19"/>
  <c r="E242" i="19"/>
  <c r="F242" i="19"/>
  <c r="G242" i="19"/>
  <c r="H242" i="19"/>
  <c r="I242" i="19"/>
  <c r="D243" i="19"/>
  <c r="E243" i="19"/>
  <c r="F243" i="19"/>
  <c r="G243" i="19"/>
  <c r="H243" i="19"/>
  <c r="I243" i="19"/>
  <c r="D244" i="19"/>
  <c r="E244" i="19"/>
  <c r="F244" i="19"/>
  <c r="G244" i="19"/>
  <c r="H244" i="19"/>
  <c r="I244" i="19"/>
  <c r="D245" i="19"/>
  <c r="E245" i="19"/>
  <c r="F245" i="19"/>
  <c r="G245" i="19"/>
  <c r="H245" i="19"/>
  <c r="I245" i="19"/>
  <c r="D246" i="19"/>
  <c r="E246" i="19"/>
  <c r="F246" i="19"/>
  <c r="G246" i="19"/>
  <c r="H246" i="19"/>
  <c r="I246" i="19"/>
  <c r="D247" i="19"/>
  <c r="E247" i="19"/>
  <c r="F247" i="19"/>
  <c r="G247" i="19"/>
  <c r="H247" i="19"/>
  <c r="I247" i="19"/>
  <c r="D248" i="19"/>
  <c r="E248" i="19"/>
  <c r="F248" i="19"/>
  <c r="G248" i="19"/>
  <c r="H248" i="19"/>
  <c r="I248" i="19"/>
  <c r="D249" i="19"/>
  <c r="E249" i="19"/>
  <c r="F249" i="19"/>
  <c r="G249" i="19"/>
  <c r="H249" i="19"/>
  <c r="I249" i="19"/>
  <c r="D250" i="19"/>
  <c r="E250" i="19"/>
  <c r="F250" i="19"/>
  <c r="G250" i="19"/>
  <c r="H250" i="19"/>
  <c r="I250" i="19"/>
  <c r="D251" i="19"/>
  <c r="E251" i="19"/>
  <c r="F251" i="19"/>
  <c r="G251" i="19"/>
  <c r="H251" i="19"/>
  <c r="I251" i="19"/>
  <c r="D252" i="19"/>
  <c r="E252" i="19"/>
  <c r="F252" i="19"/>
  <c r="G252" i="19"/>
  <c r="H252" i="19"/>
  <c r="I252" i="19"/>
  <c r="D253" i="19"/>
  <c r="E253" i="19"/>
  <c r="F253" i="19"/>
  <c r="G253" i="19"/>
  <c r="H253" i="19"/>
  <c r="I253" i="19"/>
  <c r="D254" i="19"/>
  <c r="E254" i="19"/>
  <c r="F254" i="19"/>
  <c r="G254" i="19"/>
  <c r="H254" i="19"/>
  <c r="I254" i="19"/>
  <c r="D255" i="19"/>
  <c r="E255" i="19"/>
  <c r="F255" i="19"/>
  <c r="G255" i="19"/>
  <c r="H255" i="19"/>
  <c r="I255" i="19"/>
  <c r="D256" i="19"/>
  <c r="E256" i="19"/>
  <c r="F256" i="19"/>
  <c r="G256" i="19"/>
  <c r="H256" i="19"/>
  <c r="I256" i="19"/>
  <c r="D257" i="19"/>
  <c r="E257" i="19"/>
  <c r="F257" i="19"/>
  <c r="G257" i="19"/>
  <c r="H257" i="19"/>
  <c r="I257" i="19"/>
  <c r="D258" i="19"/>
  <c r="E258" i="19"/>
  <c r="F258" i="19"/>
  <c r="G258" i="19"/>
  <c r="H258" i="19"/>
  <c r="I258" i="19"/>
  <c r="D259" i="19"/>
  <c r="E259" i="19"/>
  <c r="F259" i="19"/>
  <c r="G259" i="19"/>
  <c r="H259" i="19"/>
  <c r="I259" i="19"/>
  <c r="D260" i="19"/>
  <c r="E260" i="19"/>
  <c r="F260" i="19"/>
  <c r="G260" i="19"/>
  <c r="H260" i="19"/>
  <c r="I260" i="19"/>
  <c r="D261" i="19"/>
  <c r="E261" i="19"/>
  <c r="F261" i="19"/>
  <c r="G261" i="19"/>
  <c r="H261" i="19"/>
  <c r="I261" i="19"/>
  <c r="D262" i="19"/>
  <c r="E262" i="19"/>
  <c r="F262" i="19"/>
  <c r="G262" i="19"/>
  <c r="H262" i="19"/>
  <c r="I262" i="19"/>
  <c r="D263" i="19"/>
  <c r="E263" i="19"/>
  <c r="F263" i="19"/>
  <c r="G263" i="19"/>
  <c r="H263" i="19"/>
  <c r="I263" i="19"/>
  <c r="D264" i="19"/>
  <c r="E264" i="19"/>
  <c r="F264" i="19"/>
  <c r="G264" i="19"/>
  <c r="H264" i="19"/>
  <c r="I264" i="19"/>
  <c r="D265" i="19"/>
  <c r="E265" i="19"/>
  <c r="F265" i="19"/>
  <c r="G265" i="19"/>
  <c r="H265" i="19"/>
  <c r="I265" i="19"/>
  <c r="D266" i="19"/>
  <c r="E266" i="19"/>
  <c r="F266" i="19"/>
  <c r="G266" i="19"/>
  <c r="H266" i="19"/>
  <c r="I266" i="19"/>
  <c r="D267" i="19"/>
  <c r="E267" i="19"/>
  <c r="F267" i="19"/>
  <c r="G267" i="19"/>
  <c r="H267" i="19"/>
  <c r="I267" i="19"/>
  <c r="D268" i="19"/>
  <c r="E268" i="19"/>
  <c r="F268" i="19"/>
  <c r="G268" i="19"/>
  <c r="H268" i="19"/>
  <c r="I268" i="19"/>
  <c r="D269" i="19"/>
  <c r="E269" i="19"/>
  <c r="F269" i="19"/>
  <c r="G269" i="19"/>
  <c r="H269" i="19"/>
  <c r="I269" i="19"/>
  <c r="D270" i="19"/>
  <c r="E270" i="19"/>
  <c r="F270" i="19"/>
  <c r="G270" i="19"/>
  <c r="H270" i="19"/>
  <c r="I270" i="19"/>
  <c r="D271" i="19"/>
  <c r="E271" i="19"/>
  <c r="F271" i="19"/>
  <c r="G271" i="19"/>
  <c r="H271" i="19"/>
  <c r="I271" i="19"/>
  <c r="D272" i="19"/>
  <c r="E272" i="19"/>
  <c r="F272" i="19"/>
  <c r="G272" i="19"/>
  <c r="H272" i="19"/>
  <c r="I272" i="19"/>
  <c r="D273" i="19"/>
  <c r="E273" i="19"/>
  <c r="F273" i="19"/>
  <c r="G273" i="19"/>
  <c r="H273" i="19"/>
  <c r="I273" i="19"/>
  <c r="D274" i="19"/>
  <c r="E274" i="19"/>
  <c r="F274" i="19"/>
  <c r="G274" i="19"/>
  <c r="H274" i="19"/>
  <c r="I274" i="19"/>
  <c r="D275" i="19"/>
  <c r="E275" i="19"/>
  <c r="F275" i="19"/>
  <c r="G275" i="19"/>
  <c r="H275" i="19"/>
  <c r="I275" i="19"/>
  <c r="D276" i="19"/>
  <c r="E276" i="19"/>
  <c r="F276" i="19"/>
  <c r="G276" i="19"/>
  <c r="H276" i="19"/>
  <c r="I276" i="19"/>
  <c r="D277" i="19"/>
  <c r="E277" i="19"/>
  <c r="F277" i="19"/>
  <c r="G277" i="19"/>
  <c r="H277" i="19"/>
  <c r="I277" i="19"/>
  <c r="D278" i="19"/>
  <c r="E278" i="19"/>
  <c r="F278" i="19"/>
  <c r="G278" i="19"/>
  <c r="H278" i="19"/>
  <c r="I278" i="19"/>
  <c r="D279" i="19"/>
  <c r="E279" i="19"/>
  <c r="F279" i="19"/>
  <c r="G279" i="19"/>
  <c r="H279" i="19"/>
  <c r="I279" i="19"/>
  <c r="D280" i="19"/>
  <c r="E280" i="19"/>
  <c r="F280" i="19"/>
  <c r="G280" i="19"/>
  <c r="H280" i="19"/>
  <c r="I280" i="19"/>
  <c r="D281" i="19"/>
  <c r="E281" i="19"/>
  <c r="F281" i="19"/>
  <c r="G281" i="19"/>
  <c r="H281" i="19"/>
  <c r="I281" i="19"/>
  <c r="D282" i="19"/>
  <c r="E282" i="19"/>
  <c r="F282" i="19"/>
  <c r="G282" i="19"/>
  <c r="H282" i="19"/>
  <c r="I282" i="19"/>
  <c r="D283" i="19"/>
  <c r="E283" i="19"/>
  <c r="F283" i="19"/>
  <c r="G283" i="19"/>
  <c r="H283" i="19"/>
  <c r="I283" i="19"/>
  <c r="D284" i="19"/>
  <c r="E284" i="19"/>
  <c r="F284" i="19"/>
  <c r="G284" i="19"/>
  <c r="H284" i="19"/>
  <c r="I284" i="19"/>
  <c r="D285" i="19"/>
  <c r="E285" i="19"/>
  <c r="F285" i="19"/>
  <c r="G285" i="19"/>
  <c r="H285" i="19"/>
  <c r="I285" i="19"/>
  <c r="D286" i="19"/>
  <c r="E286" i="19"/>
  <c r="F286" i="19"/>
  <c r="G286" i="19"/>
  <c r="H286" i="19"/>
  <c r="I286" i="19"/>
  <c r="D287" i="19"/>
  <c r="E287" i="19"/>
  <c r="F287" i="19"/>
  <c r="G287" i="19"/>
  <c r="H287" i="19"/>
  <c r="I287" i="19"/>
  <c r="D288" i="19"/>
  <c r="E288" i="19"/>
  <c r="F288" i="19"/>
  <c r="G288" i="19"/>
  <c r="H288" i="19"/>
  <c r="I288" i="19"/>
  <c r="D289" i="19"/>
  <c r="E289" i="19"/>
  <c r="F289" i="19"/>
  <c r="G289" i="19"/>
  <c r="H289" i="19"/>
  <c r="I289" i="19"/>
  <c r="D290" i="19"/>
  <c r="E290" i="19"/>
  <c r="F290" i="19"/>
  <c r="G290" i="19"/>
  <c r="H290" i="19"/>
  <c r="I290" i="19"/>
  <c r="D291" i="19"/>
  <c r="E291" i="19"/>
  <c r="F291" i="19"/>
  <c r="G291" i="19"/>
  <c r="H291" i="19"/>
  <c r="I291" i="19"/>
  <c r="D292" i="19"/>
  <c r="E292" i="19"/>
  <c r="F292" i="19"/>
  <c r="G292" i="19"/>
  <c r="H292" i="19"/>
  <c r="I292" i="19"/>
  <c r="D293" i="19"/>
  <c r="E293" i="19"/>
  <c r="F293" i="19"/>
  <c r="G293" i="19"/>
  <c r="H293" i="19"/>
  <c r="I293" i="19"/>
  <c r="D294" i="19"/>
  <c r="E294" i="19"/>
  <c r="F294" i="19"/>
  <c r="G294" i="19"/>
  <c r="H294" i="19"/>
  <c r="I294" i="19"/>
  <c r="D295" i="19"/>
  <c r="E295" i="19"/>
  <c r="F295" i="19"/>
  <c r="G295" i="19"/>
  <c r="H295" i="19"/>
  <c r="I295" i="19"/>
  <c r="D296" i="19"/>
  <c r="E296" i="19"/>
  <c r="F296" i="19"/>
  <c r="G296" i="19"/>
  <c r="H296" i="19"/>
  <c r="I296" i="19"/>
  <c r="D297" i="19"/>
  <c r="E297" i="19"/>
  <c r="F297" i="19"/>
  <c r="G297" i="19"/>
  <c r="H297" i="19"/>
  <c r="I297" i="19"/>
  <c r="D298" i="19"/>
  <c r="E298" i="19"/>
  <c r="F298" i="19"/>
  <c r="G298" i="19"/>
  <c r="H298" i="19"/>
  <c r="I298" i="19"/>
  <c r="D299" i="19"/>
  <c r="E299" i="19"/>
  <c r="F299" i="19"/>
  <c r="G299" i="19"/>
  <c r="H299" i="19"/>
  <c r="I299" i="19"/>
  <c r="D300" i="19"/>
  <c r="E300" i="19"/>
  <c r="F300" i="19"/>
  <c r="G300" i="19"/>
  <c r="H300" i="19"/>
  <c r="I300" i="19"/>
  <c r="D301" i="19"/>
  <c r="E301" i="19"/>
  <c r="F301" i="19"/>
  <c r="G301" i="19"/>
  <c r="H301" i="19"/>
  <c r="I301" i="19"/>
  <c r="D302" i="19"/>
  <c r="E302" i="19"/>
  <c r="F302" i="19"/>
  <c r="G302" i="19"/>
  <c r="H302" i="19"/>
  <c r="I302" i="19"/>
  <c r="D303" i="19"/>
  <c r="E303" i="19"/>
  <c r="F303" i="19"/>
  <c r="G303" i="19"/>
  <c r="H303" i="19"/>
  <c r="I303" i="19"/>
  <c r="D304" i="19"/>
  <c r="E304" i="19"/>
  <c r="F304" i="19"/>
  <c r="G304" i="19"/>
  <c r="H304" i="19"/>
  <c r="I304" i="19"/>
  <c r="D305" i="19"/>
  <c r="E305" i="19"/>
  <c r="F305" i="19"/>
  <c r="G305" i="19"/>
  <c r="H305" i="19"/>
  <c r="I305" i="19"/>
  <c r="D306" i="19"/>
  <c r="E306" i="19"/>
  <c r="F306" i="19"/>
  <c r="G306" i="19"/>
  <c r="H306" i="19"/>
  <c r="I306" i="19"/>
  <c r="D307" i="19"/>
  <c r="E307" i="19"/>
  <c r="F307" i="19"/>
  <c r="G307" i="19"/>
  <c r="H307" i="19"/>
  <c r="I307" i="19"/>
  <c r="D308" i="19"/>
  <c r="E308" i="19"/>
  <c r="F308" i="19"/>
  <c r="G308" i="19"/>
  <c r="H308" i="19"/>
  <c r="I308" i="19"/>
  <c r="D309" i="19"/>
  <c r="E309" i="19"/>
  <c r="F309" i="19"/>
  <c r="G309" i="19"/>
  <c r="H309" i="19"/>
  <c r="I309" i="19"/>
  <c r="D310" i="19"/>
  <c r="E310" i="19"/>
  <c r="F310" i="19"/>
  <c r="G310" i="19"/>
  <c r="H310" i="19"/>
  <c r="I310" i="19"/>
  <c r="D311" i="19"/>
  <c r="E311" i="19"/>
  <c r="F311" i="19"/>
  <c r="G311" i="19"/>
  <c r="H311" i="19"/>
  <c r="I311" i="19"/>
  <c r="D312" i="19"/>
  <c r="E312" i="19"/>
  <c r="F312" i="19"/>
  <c r="G312" i="19"/>
  <c r="H312" i="19"/>
  <c r="I312" i="19"/>
  <c r="D313" i="19"/>
  <c r="E313" i="19"/>
  <c r="F313" i="19"/>
  <c r="G313" i="19"/>
  <c r="H313" i="19"/>
  <c r="I313" i="19"/>
  <c r="D314" i="19"/>
  <c r="E314" i="19"/>
  <c r="F314" i="19"/>
  <c r="G314" i="19"/>
  <c r="H314" i="19"/>
  <c r="I314" i="19"/>
  <c r="D315" i="19"/>
  <c r="E315" i="19"/>
  <c r="F315" i="19"/>
  <c r="G315" i="19"/>
  <c r="H315" i="19"/>
  <c r="I315" i="19"/>
  <c r="D316" i="19"/>
  <c r="E316" i="19"/>
  <c r="F316" i="19"/>
  <c r="G316" i="19"/>
  <c r="H316" i="19"/>
  <c r="I316" i="19"/>
  <c r="D317" i="19"/>
  <c r="E317" i="19"/>
  <c r="F317" i="19"/>
  <c r="G317" i="19"/>
  <c r="H317" i="19"/>
  <c r="I317" i="19"/>
  <c r="D318" i="19"/>
  <c r="E318" i="19"/>
  <c r="F318" i="19"/>
  <c r="G318" i="19"/>
  <c r="H318" i="19"/>
  <c r="I318" i="19"/>
  <c r="D319" i="19"/>
  <c r="E319" i="19"/>
  <c r="F319" i="19"/>
  <c r="G319" i="19"/>
  <c r="H319" i="19"/>
  <c r="I319" i="19"/>
  <c r="D320" i="19"/>
  <c r="E320" i="19"/>
  <c r="F320" i="19"/>
  <c r="G320" i="19"/>
  <c r="H320" i="19"/>
  <c r="I320" i="19"/>
  <c r="D321" i="19"/>
  <c r="E321" i="19"/>
  <c r="F321" i="19"/>
  <c r="G321" i="19"/>
  <c r="H321" i="19"/>
  <c r="I321" i="19"/>
  <c r="D322" i="19"/>
  <c r="E322" i="19"/>
  <c r="F322" i="19"/>
  <c r="G322" i="19"/>
  <c r="H322" i="19"/>
  <c r="I322" i="19"/>
  <c r="D323" i="19"/>
  <c r="E323" i="19"/>
  <c r="F323" i="19"/>
  <c r="G323" i="19"/>
  <c r="H323" i="19"/>
  <c r="I323" i="19"/>
  <c r="D324" i="19"/>
  <c r="E324" i="19"/>
  <c r="F324" i="19"/>
  <c r="G324" i="19"/>
  <c r="H324" i="19"/>
  <c r="I324" i="19"/>
  <c r="D325" i="19"/>
  <c r="E325" i="19"/>
  <c r="F325" i="19"/>
  <c r="G325" i="19"/>
  <c r="H325" i="19"/>
  <c r="I325" i="19"/>
  <c r="D326" i="19"/>
  <c r="E326" i="19"/>
  <c r="F326" i="19"/>
  <c r="G326" i="19"/>
  <c r="H326" i="19"/>
  <c r="I326" i="19"/>
  <c r="D327" i="19"/>
  <c r="E327" i="19"/>
  <c r="F327" i="19"/>
  <c r="G327" i="19"/>
  <c r="H327" i="19"/>
  <c r="I327" i="19"/>
  <c r="D328" i="19"/>
  <c r="E328" i="19"/>
  <c r="F328" i="19"/>
  <c r="G328" i="19"/>
  <c r="H328" i="19"/>
  <c r="I328" i="19"/>
  <c r="D329" i="19"/>
  <c r="E329" i="19"/>
  <c r="F329" i="19"/>
  <c r="G329" i="19"/>
  <c r="H329" i="19"/>
  <c r="I329" i="19"/>
  <c r="D330" i="19"/>
  <c r="E330" i="19"/>
  <c r="F330" i="19"/>
  <c r="G330" i="19"/>
  <c r="H330" i="19"/>
  <c r="I330" i="19"/>
  <c r="D331" i="19"/>
  <c r="E331" i="19"/>
  <c r="F331" i="19"/>
  <c r="G331" i="19"/>
  <c r="H331" i="19"/>
  <c r="I331" i="19"/>
  <c r="D332" i="19"/>
  <c r="E332" i="19"/>
  <c r="F332" i="19"/>
  <c r="G332" i="19"/>
  <c r="H332" i="19"/>
  <c r="I332" i="19"/>
  <c r="D333" i="19"/>
  <c r="E333" i="19"/>
  <c r="F333" i="19"/>
  <c r="G333" i="19"/>
  <c r="H333" i="19"/>
  <c r="I333" i="19"/>
  <c r="D334" i="19"/>
  <c r="E334" i="19"/>
  <c r="F334" i="19"/>
  <c r="G334" i="19"/>
  <c r="H334" i="19"/>
  <c r="I334" i="19"/>
  <c r="D335" i="19"/>
  <c r="E335" i="19"/>
  <c r="F335" i="19"/>
  <c r="G335" i="19"/>
  <c r="H335" i="19"/>
  <c r="I335" i="19"/>
  <c r="D336" i="19"/>
  <c r="E336" i="19"/>
  <c r="F336" i="19"/>
  <c r="G336" i="19"/>
  <c r="H336" i="19"/>
  <c r="I336" i="19"/>
  <c r="D337" i="19"/>
  <c r="E337" i="19"/>
  <c r="F337" i="19"/>
  <c r="G337" i="19"/>
  <c r="H337" i="19"/>
  <c r="I337" i="19"/>
  <c r="D338" i="19"/>
  <c r="E338" i="19"/>
  <c r="F338" i="19"/>
  <c r="G338" i="19"/>
  <c r="H338" i="19"/>
  <c r="I338" i="19"/>
  <c r="D339" i="19"/>
  <c r="E339" i="19"/>
  <c r="F339" i="19"/>
  <c r="G339" i="19"/>
  <c r="H339" i="19"/>
  <c r="I339" i="19"/>
  <c r="D340" i="19"/>
  <c r="E340" i="19"/>
  <c r="F340" i="19"/>
  <c r="G340" i="19"/>
  <c r="H340" i="19"/>
  <c r="I340" i="19"/>
  <c r="D341" i="19"/>
  <c r="E341" i="19"/>
  <c r="F341" i="19"/>
  <c r="G341" i="19"/>
  <c r="H341" i="19"/>
  <c r="I341" i="19"/>
  <c r="D342" i="19"/>
  <c r="E342" i="19"/>
  <c r="F342" i="19"/>
  <c r="G342" i="19"/>
  <c r="H342" i="19"/>
  <c r="I342" i="19"/>
  <c r="D343" i="19"/>
  <c r="E343" i="19"/>
  <c r="F343" i="19"/>
  <c r="G343" i="19"/>
  <c r="H343" i="19"/>
  <c r="I343" i="19"/>
  <c r="D344" i="19"/>
  <c r="E344" i="19"/>
  <c r="F344" i="19"/>
  <c r="G344" i="19"/>
  <c r="H344" i="19"/>
  <c r="I344" i="19"/>
  <c r="D345" i="19"/>
  <c r="E345" i="19"/>
  <c r="F345" i="19"/>
  <c r="G345" i="19"/>
  <c r="H345" i="19"/>
  <c r="I345" i="19"/>
  <c r="D346" i="19"/>
  <c r="E346" i="19"/>
  <c r="F346" i="19"/>
  <c r="G346" i="19"/>
  <c r="H346" i="19"/>
  <c r="I346" i="19"/>
  <c r="D347" i="19"/>
  <c r="E347" i="19"/>
  <c r="F347" i="19"/>
  <c r="G347" i="19"/>
  <c r="H347" i="19"/>
  <c r="I347" i="19"/>
  <c r="D348" i="19"/>
  <c r="E348" i="19"/>
  <c r="F348" i="19"/>
  <c r="G348" i="19"/>
  <c r="H348" i="19"/>
  <c r="I348" i="19"/>
  <c r="D349" i="19"/>
  <c r="E349" i="19"/>
  <c r="F349" i="19"/>
  <c r="G349" i="19"/>
  <c r="H349" i="19"/>
  <c r="I349" i="19"/>
  <c r="U2" i="19"/>
  <c r="V2" i="19"/>
  <c r="G171" i="19"/>
  <c r="H171" i="19"/>
  <c r="I171" i="19"/>
  <c r="D171" i="19"/>
  <c r="E171" i="19"/>
  <c r="F171" i="19"/>
  <c r="G172" i="19"/>
  <c r="H172" i="19"/>
  <c r="I172" i="19"/>
  <c r="D172" i="19"/>
  <c r="E172" i="19"/>
  <c r="F172" i="19"/>
  <c r="G173" i="19"/>
  <c r="H173" i="19"/>
  <c r="I173" i="19"/>
  <c r="D173" i="19"/>
  <c r="E173" i="19"/>
  <c r="F173" i="19"/>
  <c r="G174" i="19"/>
  <c r="H174" i="19"/>
  <c r="I174" i="19"/>
  <c r="D174" i="19"/>
  <c r="E174" i="19"/>
  <c r="F174" i="19"/>
  <c r="G175" i="19"/>
  <c r="H175" i="19"/>
  <c r="I175" i="19"/>
  <c r="D175" i="19"/>
  <c r="E175" i="19"/>
  <c r="F175" i="19"/>
  <c r="G176" i="19"/>
  <c r="H176" i="19"/>
  <c r="I176" i="19"/>
  <c r="D176" i="19"/>
  <c r="E176" i="19"/>
  <c r="F176" i="19"/>
  <c r="G177" i="19"/>
  <c r="H177" i="19"/>
  <c r="I177" i="19"/>
  <c r="D177" i="19"/>
  <c r="E177" i="19"/>
  <c r="F177" i="19"/>
  <c r="G178" i="19"/>
  <c r="H178" i="19"/>
  <c r="I178" i="19"/>
  <c r="D178" i="19"/>
  <c r="E178" i="19"/>
  <c r="F178" i="19"/>
  <c r="G179" i="19"/>
  <c r="H179" i="19"/>
  <c r="I179" i="19"/>
  <c r="D179" i="19"/>
  <c r="E179" i="19"/>
  <c r="F179" i="19"/>
  <c r="G180" i="19"/>
  <c r="H180" i="19"/>
  <c r="I180" i="19"/>
  <c r="D180" i="19"/>
  <c r="E180" i="19"/>
  <c r="F180" i="19"/>
  <c r="G181" i="19"/>
  <c r="H181" i="19"/>
  <c r="I181" i="19"/>
  <c r="D181" i="19"/>
  <c r="E181" i="19"/>
  <c r="F181" i="19"/>
  <c r="G182" i="19"/>
  <c r="H182" i="19"/>
  <c r="I182" i="19"/>
  <c r="D182" i="19"/>
  <c r="E182" i="19"/>
  <c r="F182" i="19"/>
  <c r="G183" i="19"/>
  <c r="H183" i="19"/>
  <c r="I183" i="19"/>
  <c r="D183" i="19"/>
  <c r="E183" i="19"/>
  <c r="F183" i="19"/>
  <c r="G184" i="19"/>
  <c r="H184" i="19"/>
  <c r="I184" i="19"/>
  <c r="D184" i="19"/>
  <c r="E184" i="19"/>
  <c r="F184" i="19"/>
  <c r="G185" i="19"/>
  <c r="H185" i="19"/>
  <c r="I185" i="19"/>
  <c r="D185" i="19"/>
  <c r="E185" i="19"/>
  <c r="F185" i="19"/>
  <c r="G186" i="19"/>
  <c r="H186" i="19"/>
  <c r="I186" i="19"/>
  <c r="D186" i="19"/>
  <c r="E186" i="19"/>
  <c r="F186" i="19"/>
  <c r="G187" i="19"/>
  <c r="H187" i="19"/>
  <c r="I187" i="19"/>
  <c r="D187" i="19"/>
  <c r="E187" i="19"/>
  <c r="F187" i="19"/>
  <c r="G188" i="19"/>
  <c r="H188" i="19"/>
  <c r="I188" i="19"/>
  <c r="D188" i="19"/>
  <c r="E188" i="19"/>
  <c r="F188" i="19"/>
  <c r="G189" i="19"/>
  <c r="H189" i="19"/>
  <c r="I189" i="19"/>
  <c r="D189" i="19"/>
  <c r="E189" i="19"/>
  <c r="F189" i="19"/>
  <c r="G190" i="19"/>
  <c r="H190" i="19"/>
  <c r="I190" i="19"/>
  <c r="D190" i="19"/>
  <c r="E190" i="19"/>
  <c r="F190" i="19"/>
  <c r="G191" i="19"/>
  <c r="H191" i="19"/>
  <c r="I191" i="19"/>
  <c r="D191" i="19"/>
  <c r="E191" i="19"/>
  <c r="F191" i="19"/>
  <c r="G192" i="19"/>
  <c r="H192" i="19"/>
  <c r="I192" i="19"/>
  <c r="D192" i="19"/>
  <c r="E192" i="19"/>
  <c r="F192" i="19"/>
  <c r="G193" i="19"/>
  <c r="H193" i="19"/>
  <c r="I193" i="19"/>
  <c r="D193" i="19"/>
  <c r="E193" i="19"/>
  <c r="F193" i="19"/>
  <c r="G194" i="19"/>
  <c r="H194" i="19"/>
  <c r="I194" i="19"/>
  <c r="D194" i="19"/>
  <c r="E194" i="19"/>
  <c r="F194" i="19"/>
  <c r="G195" i="19"/>
  <c r="H195" i="19"/>
  <c r="I195" i="19"/>
  <c r="D195" i="19"/>
  <c r="E195" i="19"/>
  <c r="F195" i="19"/>
  <c r="G196" i="19"/>
  <c r="H196" i="19"/>
  <c r="I196" i="19"/>
  <c r="D196" i="19"/>
  <c r="E196" i="19"/>
  <c r="F196" i="19"/>
  <c r="G197" i="19"/>
  <c r="H197" i="19"/>
  <c r="I197" i="19"/>
  <c r="D197" i="19"/>
  <c r="E197" i="19"/>
  <c r="F197" i="19"/>
  <c r="G198" i="19"/>
  <c r="H198" i="19"/>
  <c r="I198" i="19"/>
  <c r="D198" i="19"/>
  <c r="E198" i="19"/>
  <c r="F198" i="19"/>
  <c r="G199" i="19"/>
  <c r="H199" i="19"/>
  <c r="I199" i="19"/>
  <c r="D199" i="19"/>
  <c r="E199" i="19"/>
  <c r="F199" i="19"/>
  <c r="G200" i="19"/>
  <c r="H200" i="19"/>
  <c r="I200" i="19"/>
  <c r="D200" i="19"/>
  <c r="E200" i="19"/>
  <c r="F200" i="19"/>
  <c r="G201" i="19"/>
  <c r="H201" i="19"/>
  <c r="I201" i="19"/>
  <c r="D201" i="19"/>
  <c r="E201" i="19"/>
  <c r="F201" i="19"/>
  <c r="G202" i="19"/>
  <c r="H202" i="19"/>
  <c r="I202" i="19"/>
  <c r="D202" i="19"/>
  <c r="E202" i="19"/>
  <c r="F202" i="19"/>
  <c r="G203" i="19"/>
  <c r="H203" i="19"/>
  <c r="I203" i="19"/>
  <c r="D203" i="19"/>
  <c r="E203" i="19"/>
  <c r="F203" i="19"/>
  <c r="G204" i="19"/>
  <c r="H204" i="19"/>
  <c r="I204" i="19"/>
  <c r="D204" i="19"/>
  <c r="E204" i="19"/>
  <c r="F204" i="19"/>
  <c r="G205" i="19"/>
  <c r="H205" i="19"/>
  <c r="I205" i="19"/>
  <c r="D205" i="19"/>
  <c r="E205" i="19"/>
  <c r="F205" i="19"/>
  <c r="G206" i="19"/>
  <c r="H206" i="19"/>
  <c r="I206" i="19"/>
  <c r="D206" i="19"/>
  <c r="E206" i="19"/>
  <c r="F206" i="19"/>
  <c r="G207" i="19"/>
  <c r="H207" i="19"/>
  <c r="I207" i="19"/>
  <c r="D207" i="19"/>
  <c r="E207" i="19"/>
  <c r="F207" i="19"/>
  <c r="G208" i="19"/>
  <c r="H208" i="19"/>
  <c r="I208" i="19"/>
  <c r="D208" i="19"/>
  <c r="E208" i="19"/>
  <c r="F208" i="19"/>
  <c r="G209" i="19"/>
  <c r="H209" i="19"/>
  <c r="I209" i="19"/>
  <c r="D209" i="19"/>
  <c r="E209" i="19"/>
  <c r="F209" i="19"/>
  <c r="G210" i="19"/>
  <c r="H210" i="19"/>
  <c r="I210" i="19"/>
  <c r="D210" i="19"/>
  <c r="E210" i="19"/>
  <c r="F210" i="19"/>
  <c r="G211" i="19"/>
  <c r="H211" i="19"/>
  <c r="I211" i="19"/>
  <c r="D211" i="19"/>
  <c r="E211" i="19"/>
  <c r="F211" i="19"/>
  <c r="G212" i="19"/>
  <c r="H212" i="19"/>
  <c r="I212" i="19"/>
  <c r="D212" i="19"/>
  <c r="E212" i="19"/>
  <c r="F212" i="19"/>
  <c r="G213" i="19"/>
  <c r="H213" i="19"/>
  <c r="I213" i="19"/>
  <c r="D213" i="19"/>
  <c r="E213" i="19"/>
  <c r="F213" i="19"/>
  <c r="G214" i="19"/>
  <c r="H214" i="19"/>
  <c r="I214" i="19"/>
  <c r="D214" i="19"/>
  <c r="E214" i="19"/>
  <c r="F214" i="19"/>
  <c r="G215" i="19"/>
  <c r="H215" i="19"/>
  <c r="I215" i="19"/>
  <c r="D215" i="19"/>
  <c r="E215" i="19"/>
  <c r="F215" i="19"/>
  <c r="G216" i="19"/>
  <c r="H216" i="19"/>
  <c r="I216" i="19"/>
  <c r="D216" i="19"/>
  <c r="E216" i="19"/>
  <c r="F216" i="19"/>
  <c r="G217" i="19"/>
  <c r="H217" i="19"/>
  <c r="I217" i="19"/>
  <c r="D217" i="19"/>
  <c r="E217" i="19"/>
  <c r="F217" i="19"/>
  <c r="G218" i="19"/>
  <c r="H218" i="19"/>
  <c r="I218" i="19"/>
  <c r="D218" i="19"/>
  <c r="E218" i="19"/>
  <c r="F218" i="19"/>
  <c r="G219" i="19"/>
  <c r="H219" i="19"/>
  <c r="I219" i="19"/>
  <c r="D219" i="19"/>
  <c r="E219" i="19"/>
  <c r="F219" i="19"/>
  <c r="G220" i="19"/>
  <c r="H220" i="19"/>
  <c r="I220" i="19"/>
  <c r="D220" i="19"/>
  <c r="E220" i="19"/>
  <c r="F220" i="19"/>
  <c r="G221" i="19"/>
  <c r="H221" i="19"/>
  <c r="I221" i="19"/>
  <c r="D221" i="19"/>
  <c r="E221" i="19"/>
  <c r="F221" i="19"/>
  <c r="G222" i="19"/>
  <c r="H222" i="19"/>
  <c r="I222" i="19"/>
  <c r="D222" i="19"/>
  <c r="E222" i="19"/>
  <c r="F222" i="19"/>
  <c r="G223" i="19"/>
  <c r="H223" i="19"/>
  <c r="I223" i="19"/>
  <c r="D223" i="19"/>
  <c r="E223" i="19"/>
  <c r="F223" i="19"/>
  <c r="G224" i="19"/>
  <c r="H224" i="19"/>
  <c r="I224" i="19"/>
  <c r="D224" i="19"/>
  <c r="E224" i="19"/>
  <c r="F224" i="19"/>
  <c r="G225" i="19"/>
  <c r="H225" i="19"/>
  <c r="I225" i="19"/>
  <c r="D225" i="19"/>
  <c r="E225" i="19"/>
  <c r="F225" i="19"/>
  <c r="Q2" i="19"/>
  <c r="R2" i="19"/>
  <c r="M2" i="19"/>
  <c r="P2" i="19"/>
  <c r="N2" i="19"/>
  <c r="O2" i="19"/>
  <c r="V149" i="1"/>
  <c r="T155" i="1"/>
  <c r="T149" i="1"/>
  <c r="Y156" i="1"/>
  <c r="X155" i="1"/>
  <c r="X154" i="1"/>
  <c r="X153" i="1"/>
  <c r="V153" i="1"/>
  <c r="T153" i="1"/>
  <c r="X152" i="1"/>
  <c r="V152" i="1"/>
  <c r="X151" i="1"/>
  <c r="X150" i="1"/>
  <c r="V150" i="1"/>
  <c r="T150" i="1"/>
  <c r="Y149" i="1"/>
  <c r="X149" i="1"/>
  <c r="W149" i="1"/>
  <c r="U149" i="1"/>
  <c r="W89" i="1"/>
  <c r="W107" i="1"/>
  <c r="W118" i="1"/>
  <c r="V118" i="1"/>
  <c r="V107" i="1"/>
  <c r="V119" i="1" s="1"/>
  <c r="V89" i="1"/>
  <c r="K26" i="18"/>
  <c r="J26" i="18"/>
  <c r="I26" i="18"/>
  <c r="I22" i="17"/>
  <c r="J22" i="17"/>
  <c r="H22" i="17"/>
  <c r="U107" i="1"/>
  <c r="T107" i="1"/>
  <c r="G48" i="16"/>
  <c r="H48" i="16"/>
  <c r="I48" i="16"/>
  <c r="J48" i="16"/>
  <c r="K48" i="16"/>
  <c r="L48" i="16"/>
  <c r="M48" i="16"/>
  <c r="N48" i="16"/>
  <c r="O48" i="16"/>
  <c r="P48" i="16"/>
  <c r="Q48" i="16"/>
  <c r="F48" i="16"/>
  <c r="G20" i="16"/>
  <c r="H20" i="16"/>
  <c r="I20" i="16"/>
  <c r="J20" i="16"/>
  <c r="K20" i="16"/>
  <c r="L20" i="16"/>
  <c r="M20" i="16"/>
  <c r="N20" i="16"/>
  <c r="O20" i="16"/>
  <c r="P20" i="16"/>
  <c r="Q20" i="16"/>
  <c r="F20" i="16"/>
  <c r="P33" i="1"/>
  <c r="N33" i="1"/>
  <c r="K33" i="1"/>
  <c r="T118" i="1"/>
  <c r="T89" i="1"/>
  <c r="U118" i="1"/>
  <c r="U89" i="1"/>
  <c r="U119" i="1"/>
  <c r="T119" i="1"/>
  <c r="N60" i="1"/>
  <c r="P60" i="1"/>
  <c r="K102" i="1"/>
  <c r="F102" i="1"/>
  <c r="E102" i="1"/>
  <c r="R36" i="14"/>
  <c r="R41" i="14" s="1"/>
  <c r="P36" i="14"/>
  <c r="N36" i="14"/>
  <c r="N41" i="14" s="1"/>
  <c r="M36" i="14"/>
  <c r="M41" i="14" s="1"/>
  <c r="R35" i="14"/>
  <c r="R40" i="14" s="1"/>
  <c r="P35" i="14"/>
  <c r="Q35" i="14"/>
  <c r="O35" i="14"/>
  <c r="O40" i="14" s="1"/>
  <c r="N35" i="14"/>
  <c r="N40" i="14" s="1"/>
  <c r="M35" i="14"/>
  <c r="M40" i="14"/>
  <c r="P40" i="14"/>
  <c r="Q40" i="14"/>
  <c r="K145" i="1"/>
  <c r="K143" i="1"/>
  <c r="K144" i="1"/>
  <c r="P142" i="1"/>
  <c r="N142" i="1"/>
  <c r="K142" i="1"/>
  <c r="P140" i="1"/>
  <c r="N140" i="1"/>
  <c r="K140" i="1"/>
  <c r="P141" i="1"/>
  <c r="N141" i="1"/>
  <c r="K141" i="1"/>
  <c r="P138" i="1"/>
  <c r="N138" i="1"/>
  <c r="K138" i="1"/>
  <c r="P139" i="1"/>
  <c r="N139" i="1"/>
  <c r="K139" i="1"/>
  <c r="P137" i="1"/>
  <c r="N137" i="1"/>
  <c r="F137" i="1"/>
  <c r="E137" i="1"/>
  <c r="P136" i="1"/>
  <c r="N136" i="1"/>
  <c r="F136" i="1"/>
  <c r="E136" i="1"/>
  <c r="P58" i="1"/>
  <c r="N58" i="1"/>
  <c r="K58" i="1"/>
  <c r="P131" i="1"/>
  <c r="N131" i="1"/>
  <c r="K131" i="1"/>
  <c r="P133" i="1"/>
  <c r="N133" i="1"/>
  <c r="K133" i="1"/>
  <c r="P132" i="1"/>
  <c r="N132" i="1"/>
  <c r="K132" i="1"/>
  <c r="P130" i="1"/>
  <c r="N130" i="1"/>
  <c r="K130" i="1"/>
  <c r="P129" i="1"/>
  <c r="N129" i="1"/>
  <c r="K129" i="1"/>
  <c r="F129" i="1"/>
  <c r="P128" i="1"/>
  <c r="N128" i="1"/>
  <c r="K128" i="1"/>
  <c r="F128" i="1"/>
  <c r="P127" i="1"/>
  <c r="N127" i="1"/>
  <c r="K127" i="1"/>
  <c r="P126" i="1"/>
  <c r="N126" i="1"/>
  <c r="K126" i="1"/>
  <c r="P125" i="1"/>
  <c r="N125" i="1"/>
  <c r="K125" i="1"/>
  <c r="F125" i="1"/>
  <c r="E125" i="1"/>
  <c r="P124" i="1"/>
  <c r="N124" i="1"/>
  <c r="K124" i="1"/>
  <c r="P123" i="1"/>
  <c r="N123" i="1"/>
  <c r="K123" i="1"/>
  <c r="P122" i="1"/>
  <c r="N122" i="1"/>
  <c r="K122" i="1"/>
  <c r="P121" i="1"/>
  <c r="N121" i="1"/>
  <c r="K121" i="1"/>
  <c r="K90" i="1"/>
  <c r="P116" i="1"/>
  <c r="N116" i="1"/>
  <c r="K116" i="1"/>
  <c r="K117" i="1"/>
  <c r="E115" i="1"/>
  <c r="K114" i="1"/>
  <c r="F114" i="1"/>
  <c r="E114" i="1"/>
  <c r="P113" i="1"/>
  <c r="N113" i="1"/>
  <c r="K112" i="1"/>
  <c r="K111" i="1"/>
  <c r="P110" i="1"/>
  <c r="N110" i="1"/>
  <c r="K110" i="1"/>
  <c r="K109" i="1"/>
  <c r="K108" i="1"/>
  <c r="P105" i="1"/>
  <c r="N105" i="1"/>
  <c r="K105" i="1"/>
  <c r="P106" i="1"/>
  <c r="N106" i="1"/>
  <c r="K106" i="1"/>
  <c r="P104" i="1"/>
  <c r="N104" i="1"/>
  <c r="K104" i="1"/>
  <c r="K103" i="1"/>
  <c r="K101" i="1"/>
  <c r="P95" i="1"/>
  <c r="N95" i="1"/>
  <c r="K95" i="1"/>
  <c r="P94" i="1"/>
  <c r="N94" i="1"/>
  <c r="K94" i="1"/>
  <c r="P100" i="1"/>
  <c r="N100" i="1"/>
  <c r="K100" i="1"/>
  <c r="P99" i="1"/>
  <c r="N99" i="1"/>
  <c r="K99" i="1"/>
  <c r="P98" i="1"/>
  <c r="N98" i="1"/>
  <c r="K98" i="1"/>
  <c r="P97" i="1"/>
  <c r="N97" i="1"/>
  <c r="K97" i="1"/>
  <c r="P96" i="1"/>
  <c r="N96" i="1"/>
  <c r="K96" i="1"/>
  <c r="P93" i="1"/>
  <c r="N93" i="1"/>
  <c r="K93" i="1"/>
  <c r="K92" i="1"/>
  <c r="K91" i="1"/>
  <c r="K88" i="1"/>
  <c r="P87" i="1"/>
  <c r="N87" i="1"/>
  <c r="K87" i="1"/>
  <c r="P86" i="1"/>
  <c r="N86" i="1"/>
  <c r="K86" i="1"/>
  <c r="P85" i="1"/>
  <c r="N85" i="1"/>
  <c r="K85" i="1"/>
  <c r="K82" i="1"/>
  <c r="K83" i="1"/>
  <c r="K84" i="1"/>
  <c r="P75" i="1"/>
  <c r="N75" i="1"/>
  <c r="K75" i="1"/>
  <c r="P81" i="1"/>
  <c r="N81" i="1"/>
  <c r="K81" i="1"/>
  <c r="P80" i="1"/>
  <c r="N80" i="1"/>
  <c r="K80" i="1"/>
  <c r="P77" i="1"/>
  <c r="N77" i="1"/>
  <c r="K77" i="1"/>
  <c r="P76" i="1"/>
  <c r="N76" i="1"/>
  <c r="K76" i="1"/>
  <c r="P79" i="1"/>
  <c r="N79" i="1"/>
  <c r="K79" i="1"/>
  <c r="P78" i="1"/>
  <c r="N78" i="1"/>
  <c r="K78" i="1"/>
  <c r="P72" i="1"/>
  <c r="N72" i="1"/>
  <c r="K72" i="1"/>
  <c r="P74" i="1"/>
  <c r="N74" i="1"/>
  <c r="K74" i="1"/>
  <c r="P73" i="1"/>
  <c r="N73" i="1"/>
  <c r="K73" i="1"/>
  <c r="K71" i="1"/>
  <c r="K68" i="1"/>
  <c r="P69" i="1"/>
  <c r="N69" i="1"/>
  <c r="K69" i="1"/>
  <c r="P70" i="1"/>
  <c r="N70" i="1"/>
  <c r="K70" i="1"/>
  <c r="P65" i="1"/>
  <c r="N65" i="1"/>
  <c r="K65" i="1"/>
  <c r="P67" i="1"/>
  <c r="N67" i="1"/>
  <c r="K67" i="1"/>
  <c r="P66" i="1"/>
  <c r="N66" i="1"/>
  <c r="K66" i="1"/>
  <c r="P64" i="1"/>
  <c r="N64" i="1"/>
  <c r="K64" i="1"/>
  <c r="P63" i="1"/>
  <c r="N63" i="1"/>
  <c r="K63" i="1"/>
  <c r="K62" i="1"/>
  <c r="F62" i="1"/>
  <c r="E62" i="1"/>
  <c r="P61" i="1"/>
  <c r="N61" i="1"/>
  <c r="K61" i="1"/>
  <c r="K60" i="1"/>
  <c r="P59" i="1"/>
  <c r="N59" i="1"/>
  <c r="P134" i="1"/>
  <c r="N134" i="1"/>
  <c r="K134" i="1"/>
  <c r="P135" i="1"/>
  <c r="N135" i="1"/>
  <c r="K135" i="1"/>
  <c r="P57" i="1"/>
  <c r="N57" i="1"/>
  <c r="K57" i="1"/>
  <c r="K56" i="1"/>
  <c r="P55" i="1"/>
  <c r="N55" i="1"/>
  <c r="K55" i="1"/>
  <c r="P54" i="1"/>
  <c r="N54" i="1"/>
  <c r="K54" i="1"/>
  <c r="P53" i="1"/>
  <c r="N53" i="1"/>
  <c r="K53" i="1"/>
  <c r="P52" i="1"/>
  <c r="N52" i="1"/>
  <c r="K52" i="1"/>
  <c r="P51" i="1"/>
  <c r="N51" i="1"/>
  <c r="K51" i="1"/>
  <c r="P50" i="1"/>
  <c r="N50" i="1"/>
  <c r="K50" i="1"/>
  <c r="P47" i="1"/>
  <c r="N47" i="1"/>
  <c r="K47" i="1"/>
  <c r="P48" i="1"/>
  <c r="N48" i="1"/>
  <c r="K48" i="1"/>
  <c r="P49" i="1"/>
  <c r="N49" i="1"/>
  <c r="K49" i="1"/>
  <c r="P46" i="1"/>
  <c r="N46" i="1"/>
  <c r="K46" i="1"/>
  <c r="P45" i="1"/>
  <c r="N45" i="1"/>
  <c r="K45" i="1"/>
  <c r="P44" i="1"/>
  <c r="N44" i="1"/>
  <c r="K44" i="1"/>
  <c r="P43" i="1"/>
  <c r="N43" i="1"/>
  <c r="K43" i="1"/>
  <c r="P42" i="1"/>
  <c r="N42" i="1"/>
  <c r="K42" i="1"/>
  <c r="P41" i="1"/>
  <c r="N41" i="1"/>
  <c r="K41" i="1"/>
  <c r="P40" i="1"/>
  <c r="N40" i="1"/>
  <c r="K40" i="1"/>
  <c r="P39" i="1"/>
  <c r="N39" i="1"/>
  <c r="K39" i="1"/>
  <c r="P38" i="1"/>
  <c r="N38" i="1"/>
  <c r="K38" i="1"/>
  <c r="P37" i="1"/>
  <c r="N37" i="1"/>
  <c r="K37" i="1"/>
  <c r="P36" i="1"/>
  <c r="N36" i="1"/>
  <c r="K36" i="1"/>
  <c r="P35" i="1"/>
  <c r="N35" i="1"/>
  <c r="K35" i="1"/>
  <c r="P34" i="1"/>
  <c r="N34" i="1"/>
  <c r="K34" i="1"/>
  <c r="P32" i="1"/>
  <c r="N32" i="1"/>
  <c r="K32" i="1"/>
  <c r="P31" i="1"/>
  <c r="N31" i="1"/>
  <c r="K31" i="1"/>
  <c r="P30" i="1"/>
  <c r="N30" i="1"/>
  <c r="K30" i="1"/>
  <c r="P29" i="1"/>
  <c r="N29" i="1"/>
  <c r="K29" i="1"/>
  <c r="P28" i="1"/>
  <c r="N28" i="1"/>
  <c r="K28" i="1"/>
  <c r="P25" i="1"/>
  <c r="N25" i="1"/>
  <c r="K25" i="1"/>
  <c r="P24" i="1"/>
  <c r="N24" i="1"/>
  <c r="K24" i="1"/>
  <c r="P27" i="1"/>
  <c r="N27" i="1"/>
  <c r="K27" i="1"/>
  <c r="P23" i="1"/>
  <c r="N23" i="1"/>
  <c r="K23" i="1"/>
  <c r="P26" i="1"/>
  <c r="N26" i="1"/>
  <c r="K26" i="1"/>
  <c r="P22" i="1"/>
  <c r="N22" i="1"/>
  <c r="K22" i="1"/>
  <c r="P21" i="1"/>
  <c r="N21" i="1"/>
  <c r="K21" i="1"/>
  <c r="P20" i="1"/>
  <c r="N20" i="1"/>
  <c r="K20" i="1"/>
  <c r="P19" i="1"/>
  <c r="N19" i="1"/>
  <c r="K19" i="1"/>
  <c r="P18" i="1"/>
  <c r="N18" i="1"/>
  <c r="K18" i="1"/>
  <c r="P16" i="1"/>
  <c r="N16" i="1"/>
  <c r="K16" i="1"/>
  <c r="P17" i="1"/>
  <c r="N17" i="1"/>
  <c r="K17" i="1"/>
  <c r="P15" i="1"/>
  <c r="N15" i="1"/>
  <c r="K15" i="1"/>
  <c r="P14" i="1"/>
  <c r="N14" i="1"/>
  <c r="K14" i="1"/>
  <c r="F14" i="1"/>
  <c r="E14" i="1"/>
  <c r="P13" i="1"/>
  <c r="N13" i="1"/>
  <c r="K13" i="1"/>
  <c r="P12" i="1"/>
  <c r="N12" i="1"/>
  <c r="K12" i="1"/>
  <c r="P11" i="1"/>
  <c r="N11" i="1"/>
  <c r="K11" i="1"/>
  <c r="F11" i="1"/>
  <c r="E11" i="1"/>
  <c r="P10" i="1"/>
  <c r="N10" i="1"/>
  <c r="K10" i="1"/>
  <c r="P9" i="1"/>
  <c r="N9" i="1"/>
  <c r="K9" i="1"/>
  <c r="K8" i="1"/>
  <c r="L13" i="5"/>
  <c r="M13" i="5"/>
  <c r="N13" i="5" s="1"/>
  <c r="L14" i="5"/>
  <c r="N14" i="5" s="1"/>
  <c r="M14" i="5"/>
  <c r="L15" i="5"/>
  <c r="N15" i="5" s="1"/>
  <c r="M15" i="5"/>
  <c r="L16" i="5"/>
  <c r="M16" i="5"/>
  <c r="N16" i="5"/>
  <c r="L17" i="5"/>
  <c r="M17" i="5"/>
  <c r="N17" i="5"/>
  <c r="L18" i="5"/>
  <c r="N18" i="5" s="1"/>
  <c r="M18" i="5"/>
  <c r="U9" i="11"/>
  <c r="V9" i="11"/>
  <c r="U10" i="11"/>
  <c r="V10" i="11"/>
  <c r="U11" i="11"/>
  <c r="V11" i="11"/>
  <c r="K23" i="7"/>
  <c r="W57" i="4"/>
  <c r="AA57" i="4" s="1"/>
  <c r="Y57" i="4"/>
  <c r="W58" i="4"/>
  <c r="AA58" i="4" s="1"/>
  <c r="Y58" i="4"/>
  <c r="W59" i="4"/>
  <c r="Y59" i="4"/>
  <c r="AA59" i="4"/>
  <c r="W60" i="4"/>
  <c r="Y60" i="4"/>
  <c r="AA60" i="4"/>
  <c r="W61" i="4"/>
  <c r="AA61" i="4" s="1"/>
  <c r="Y61" i="4"/>
  <c r="W62" i="4"/>
  <c r="Y62" i="4"/>
  <c r="W63" i="4"/>
  <c r="Y63" i="4"/>
  <c r="AA63" i="4"/>
  <c r="W64" i="4"/>
  <c r="Y64" i="4"/>
  <c r="AA64" i="4"/>
  <c r="W65" i="4"/>
  <c r="AA65" i="4" s="1"/>
  <c r="Y65" i="4"/>
  <c r="AQ155" i="13"/>
  <c r="AQ160" i="13" s="1"/>
  <c r="AO155" i="13"/>
  <c r="AP155" i="13"/>
  <c r="AN155" i="13"/>
  <c r="AN160" i="13" s="1"/>
  <c r="AM155" i="13"/>
  <c r="AM160" i="13"/>
  <c r="AL155" i="13"/>
  <c r="AL160" i="13" s="1"/>
  <c r="I155" i="13"/>
  <c r="I160" i="13"/>
  <c r="G155" i="13"/>
  <c r="F155" i="13" s="1"/>
  <c r="H155" i="13"/>
  <c r="H160" i="13" s="1"/>
  <c r="E155" i="13"/>
  <c r="E160" i="13" s="1"/>
  <c r="D155" i="13"/>
  <c r="D160" i="13" s="1"/>
  <c r="U3" i="10"/>
  <c r="V3" i="10" s="1"/>
  <c r="U4" i="10"/>
  <c r="V4" i="10"/>
  <c r="U5" i="10"/>
  <c r="V5" i="10" s="1"/>
  <c r="U6" i="10"/>
  <c r="V6" i="10"/>
  <c r="U7" i="10"/>
  <c r="V7" i="10" s="1"/>
  <c r="U8" i="10"/>
  <c r="V8" i="10"/>
  <c r="L21" i="5"/>
  <c r="M21" i="5"/>
  <c r="L22" i="5"/>
  <c r="M22" i="5"/>
  <c r="N22" i="5"/>
  <c r="M46" i="5"/>
  <c r="M51" i="5" s="1"/>
  <c r="I23" i="7"/>
  <c r="H23" i="7" s="1"/>
  <c r="H28" i="7" s="1"/>
  <c r="J23" i="7"/>
  <c r="J28" i="7" s="1"/>
  <c r="G23" i="7"/>
  <c r="G28" i="7"/>
  <c r="F23" i="7"/>
  <c r="F28" i="7" s="1"/>
  <c r="K22" i="7"/>
  <c r="K27" i="7"/>
  <c r="I22" i="7"/>
  <c r="H22" i="7" s="1"/>
  <c r="H27" i="7" s="1"/>
  <c r="G22" i="7"/>
  <c r="G27" i="7"/>
  <c r="F22" i="7"/>
  <c r="F27" i="7"/>
  <c r="K28" i="7"/>
  <c r="U5" i="9"/>
  <c r="V5" i="9" s="1"/>
  <c r="U6" i="9"/>
  <c r="V6" i="9" s="1"/>
  <c r="U7" i="9"/>
  <c r="V7" i="9" s="1"/>
  <c r="U8" i="9"/>
  <c r="V8" i="9" s="1"/>
  <c r="U9" i="9"/>
  <c r="V9" i="9" s="1"/>
  <c r="U10" i="9"/>
  <c r="V10" i="9"/>
  <c r="U11" i="9"/>
  <c r="V11" i="9" s="1"/>
  <c r="U12" i="9"/>
  <c r="V12" i="9"/>
  <c r="U13" i="9"/>
  <c r="V13" i="9" s="1"/>
  <c r="U14" i="9"/>
  <c r="V14" i="9" s="1"/>
  <c r="U15" i="9"/>
  <c r="V15" i="9" s="1"/>
  <c r="U16" i="9"/>
  <c r="V16" i="9" s="1"/>
  <c r="U17" i="9"/>
  <c r="V17" i="9" s="1"/>
  <c r="U18" i="9"/>
  <c r="V18" i="9"/>
  <c r="U19" i="9"/>
  <c r="V19" i="9" s="1"/>
  <c r="U20" i="9"/>
  <c r="V20" i="9"/>
  <c r="U21" i="9"/>
  <c r="V21" i="9" s="1"/>
  <c r="U22" i="9"/>
  <c r="V22" i="9" s="1"/>
  <c r="U23" i="9"/>
  <c r="V23" i="9" s="1"/>
  <c r="U24" i="9"/>
  <c r="V24" i="9" s="1"/>
  <c r="U25" i="9"/>
  <c r="V25" i="9" s="1"/>
  <c r="U26" i="9"/>
  <c r="V26" i="9"/>
  <c r="U27" i="9"/>
  <c r="V27" i="9" s="1"/>
  <c r="U28" i="9"/>
  <c r="V28" i="9"/>
  <c r="U29" i="9"/>
  <c r="V29" i="9" s="1"/>
  <c r="U30" i="9"/>
  <c r="V30" i="9" s="1"/>
  <c r="U31" i="9"/>
  <c r="V31" i="9" s="1"/>
  <c r="U32" i="9"/>
  <c r="V32" i="9" s="1"/>
  <c r="U33" i="9"/>
  <c r="V33" i="9" s="1"/>
  <c r="U34" i="9"/>
  <c r="V34" i="9"/>
  <c r="U35" i="9"/>
  <c r="V35" i="9" s="1"/>
  <c r="U36" i="9"/>
  <c r="V36" i="9"/>
  <c r="U37" i="9"/>
  <c r="V37" i="9" s="1"/>
  <c r="U38" i="9"/>
  <c r="V38" i="9" s="1"/>
  <c r="U39" i="9"/>
  <c r="V39" i="9" s="1"/>
  <c r="U40" i="9"/>
  <c r="V40" i="9" s="1"/>
  <c r="AO160" i="13"/>
  <c r="AP160" i="13"/>
  <c r="F160" i="13"/>
  <c r="G160" i="13"/>
  <c r="I28" i="7"/>
  <c r="U7" i="6"/>
  <c r="V7" i="6" s="1"/>
  <c r="U8" i="6"/>
  <c r="V8" i="6" s="1"/>
  <c r="U9" i="6"/>
  <c r="V9" i="6"/>
  <c r="U10" i="6"/>
  <c r="V10" i="6" s="1"/>
  <c r="U11" i="6"/>
  <c r="V11" i="6"/>
  <c r="U12" i="6"/>
  <c r="V12" i="6" s="1"/>
  <c r="U13" i="6"/>
  <c r="V13" i="6" s="1"/>
  <c r="F17" i="8"/>
  <c r="E17" i="8"/>
  <c r="E22" i="8"/>
  <c r="G17" i="8"/>
  <c r="G22" i="8" s="1"/>
  <c r="F16" i="8"/>
  <c r="E16" i="8" s="1"/>
  <c r="G16" i="8"/>
  <c r="G21" i="8"/>
  <c r="F15" i="8"/>
  <c r="F20" i="8" s="1"/>
  <c r="H17" i="8"/>
  <c r="H22" i="8" s="1"/>
  <c r="F22" i="8"/>
  <c r="D17" i="8"/>
  <c r="D22" i="8" s="1"/>
  <c r="C17" i="8"/>
  <c r="C22" i="8"/>
  <c r="H16" i="8"/>
  <c r="F21" i="8"/>
  <c r="D16" i="8"/>
  <c r="D21" i="8"/>
  <c r="C15" i="8"/>
  <c r="C20" i="8" s="1"/>
  <c r="C16" i="8"/>
  <c r="C21" i="8"/>
  <c r="H21" i="8"/>
  <c r="E21" i="8"/>
  <c r="BE154" i="13"/>
  <c r="BD154" i="13"/>
  <c r="BC154" i="13"/>
  <c r="O45" i="12"/>
  <c r="N45" i="12"/>
  <c r="M45" i="12"/>
  <c r="O44" i="12"/>
  <c r="N44" i="12"/>
  <c r="M44" i="12"/>
  <c r="O36" i="12"/>
  <c r="N36" i="12"/>
  <c r="M36" i="12"/>
  <c r="O28" i="12"/>
  <c r="N28" i="12"/>
  <c r="M28" i="12"/>
  <c r="O20" i="12"/>
  <c r="N20" i="12"/>
  <c r="M20" i="12"/>
  <c r="N12" i="12"/>
  <c r="O12" i="12"/>
  <c r="M12" i="12"/>
  <c r="L4" i="12"/>
  <c r="U4" i="11"/>
  <c r="V4" i="11"/>
  <c r="U5" i="11"/>
  <c r="V5" i="11" s="1"/>
  <c r="U6" i="11"/>
  <c r="V6" i="11"/>
  <c r="Q14" i="11" s="1"/>
  <c r="Q19" i="11" s="1"/>
  <c r="U7" i="11"/>
  <c r="V7" i="11" s="1"/>
  <c r="T14" i="11" s="1"/>
  <c r="U8" i="11"/>
  <c r="V8" i="11" s="1"/>
  <c r="U3" i="11"/>
  <c r="V3" i="11" s="1"/>
  <c r="M43" i="5"/>
  <c r="L43" i="5"/>
  <c r="M42" i="5"/>
  <c r="N42" i="5" s="1"/>
  <c r="L42" i="5"/>
  <c r="M41" i="5"/>
  <c r="L41" i="5"/>
  <c r="N41" i="5" s="1"/>
  <c r="M40" i="5"/>
  <c r="L40" i="5"/>
  <c r="N40" i="5" s="1"/>
  <c r="M39" i="5"/>
  <c r="L39" i="5"/>
  <c r="M38" i="5"/>
  <c r="L38" i="5"/>
  <c r="N38" i="5" s="1"/>
  <c r="M37" i="5"/>
  <c r="L37" i="5"/>
  <c r="N37" i="5" s="1"/>
  <c r="M36" i="5"/>
  <c r="L36" i="5"/>
  <c r="M35" i="5"/>
  <c r="L35" i="5"/>
  <c r="N35" i="5" s="1"/>
  <c r="M34" i="5"/>
  <c r="L34" i="5"/>
  <c r="N34" i="5"/>
  <c r="M33" i="5"/>
  <c r="L33" i="5"/>
  <c r="M32" i="5"/>
  <c r="L32" i="5"/>
  <c r="N32" i="5"/>
  <c r="M31" i="5"/>
  <c r="N31" i="5" s="1"/>
  <c r="L31" i="5"/>
  <c r="M30" i="5"/>
  <c r="L30" i="5"/>
  <c r="N30" i="5" s="1"/>
  <c r="M29" i="5"/>
  <c r="L29" i="5"/>
  <c r="M28" i="5"/>
  <c r="L28" i="5"/>
  <c r="N28" i="5" s="1"/>
  <c r="M27" i="5"/>
  <c r="L27" i="5"/>
  <c r="N27" i="5"/>
  <c r="M26" i="5"/>
  <c r="N26" i="5" s="1"/>
  <c r="L26" i="5"/>
  <c r="M25" i="5"/>
  <c r="L25" i="5"/>
  <c r="N25" i="5" s="1"/>
  <c r="M24" i="5"/>
  <c r="L24" i="5"/>
  <c r="N24" i="5"/>
  <c r="M23" i="5"/>
  <c r="N23" i="5" s="1"/>
  <c r="L23" i="5"/>
  <c r="M20" i="5"/>
  <c r="L20" i="5"/>
  <c r="N20" i="5" s="1"/>
  <c r="M19" i="5"/>
  <c r="L19" i="5"/>
  <c r="M12" i="5"/>
  <c r="N12" i="5" s="1"/>
  <c r="L12" i="5"/>
  <c r="M11" i="5"/>
  <c r="L11" i="5"/>
  <c r="M10" i="5"/>
  <c r="L10" i="5"/>
  <c r="M9" i="5"/>
  <c r="L9" i="5"/>
  <c r="M8" i="5"/>
  <c r="N8" i="5" s="1"/>
  <c r="L8" i="5"/>
  <c r="M7" i="5"/>
  <c r="L7" i="5"/>
  <c r="N7" i="5" s="1"/>
  <c r="M6" i="5"/>
  <c r="L6" i="5"/>
  <c r="N6" i="5"/>
  <c r="M5" i="5"/>
  <c r="N5" i="5" s="1"/>
  <c r="L5" i="5"/>
  <c r="M4" i="5"/>
  <c r="L4" i="5"/>
  <c r="N4" i="5"/>
  <c r="M3" i="5"/>
  <c r="L3" i="5"/>
  <c r="N3" i="5"/>
  <c r="N19" i="5"/>
  <c r="N43" i="5"/>
  <c r="N39" i="5"/>
  <c r="N9" i="5"/>
  <c r="N29" i="5"/>
  <c r="N11" i="5"/>
  <c r="Y4" i="4"/>
  <c r="Y5" i="4"/>
  <c r="Y6" i="4"/>
  <c r="AA6" i="4" s="1"/>
  <c r="Y7" i="4"/>
  <c r="Y8" i="4"/>
  <c r="Y9" i="4"/>
  <c r="Y10" i="4"/>
  <c r="Y11" i="4"/>
  <c r="Y12" i="4"/>
  <c r="Y13" i="4"/>
  <c r="Y14" i="4"/>
  <c r="AA14" i="4" s="1"/>
  <c r="Y15" i="4"/>
  <c r="AA15" i="4" s="1"/>
  <c r="Y16" i="4"/>
  <c r="Y17" i="4"/>
  <c r="Y18" i="4"/>
  <c r="AA18" i="4" s="1"/>
  <c r="Y19" i="4"/>
  <c r="Y20" i="4"/>
  <c r="Y21" i="4"/>
  <c r="Y22" i="4"/>
  <c r="Y23" i="4"/>
  <c r="Y24" i="4"/>
  <c r="Y25" i="4"/>
  <c r="Y26" i="4"/>
  <c r="Y27" i="4"/>
  <c r="AA27" i="4" s="1"/>
  <c r="Y28" i="4"/>
  <c r="Y29" i="4"/>
  <c r="Y30" i="4"/>
  <c r="W30" i="4"/>
  <c r="AA30" i="4" s="1"/>
  <c r="Y31" i="4"/>
  <c r="Y32" i="4"/>
  <c r="Y33" i="4"/>
  <c r="Y34" i="4"/>
  <c r="W34" i="4"/>
  <c r="AA34" i="4" s="1"/>
  <c r="Y35" i="4"/>
  <c r="Y36" i="4"/>
  <c r="Y37" i="4"/>
  <c r="W37" i="4"/>
  <c r="AA37" i="4"/>
  <c r="Y38" i="4"/>
  <c r="Y39" i="4"/>
  <c r="Y40" i="4"/>
  <c r="Y41" i="4"/>
  <c r="AA41" i="4" s="1"/>
  <c r="W41" i="4"/>
  <c r="Y42" i="4"/>
  <c r="Y43" i="4"/>
  <c r="Y44" i="4"/>
  <c r="W44" i="4"/>
  <c r="AA44" i="4" s="1"/>
  <c r="Y45" i="4"/>
  <c r="AA45" i="4" s="1"/>
  <c r="Y46" i="4"/>
  <c r="Y47" i="4"/>
  <c r="Y48" i="4"/>
  <c r="W48" i="4"/>
  <c r="AA48" i="4" s="1"/>
  <c r="Y49" i="4"/>
  <c r="AA49" i="4" s="1"/>
  <c r="Y50" i="4"/>
  <c r="Y51" i="4"/>
  <c r="Y52" i="4"/>
  <c r="W52" i="4"/>
  <c r="AA52" i="4" s="1"/>
  <c r="Y53" i="4"/>
  <c r="Y54" i="4"/>
  <c r="Y55" i="4"/>
  <c r="Y56" i="4"/>
  <c r="Y66" i="4"/>
  <c r="Y67" i="4"/>
  <c r="Y68" i="4"/>
  <c r="Y69" i="4"/>
  <c r="Y70" i="4"/>
  <c r="Y71" i="4"/>
  <c r="Y72" i="4"/>
  <c r="Y73" i="4"/>
  <c r="Y74" i="4"/>
  <c r="AA74" i="4" s="1"/>
  <c r="Y3" i="4"/>
  <c r="W3" i="4"/>
  <c r="AA3" i="4" s="1"/>
  <c r="X74" i="4"/>
  <c r="W74" i="4"/>
  <c r="X73" i="4"/>
  <c r="Z73" i="4" s="1"/>
  <c r="W73" i="4"/>
  <c r="AA73" i="4" s="1"/>
  <c r="X72" i="4"/>
  <c r="W72" i="4"/>
  <c r="AA72" i="4" s="1"/>
  <c r="X71" i="4"/>
  <c r="Z71" i="4" s="1"/>
  <c r="W71" i="4"/>
  <c r="AA71" i="4"/>
  <c r="X70" i="4"/>
  <c r="Z70" i="4" s="1"/>
  <c r="W70" i="4"/>
  <c r="AA70" i="4"/>
  <c r="X69" i="4"/>
  <c r="Z69" i="4" s="1"/>
  <c r="W69" i="4"/>
  <c r="AA69" i="4" s="1"/>
  <c r="X68" i="4"/>
  <c r="W68" i="4"/>
  <c r="AA68" i="4"/>
  <c r="X67" i="4"/>
  <c r="W67" i="4"/>
  <c r="Z67" i="4" s="1"/>
  <c r="AA67" i="4"/>
  <c r="X66" i="4"/>
  <c r="Z66" i="4" s="1"/>
  <c r="W66" i="4"/>
  <c r="AA66" i="4"/>
  <c r="X65" i="4"/>
  <c r="X64" i="4"/>
  <c r="Z64" i="4" s="1"/>
  <c r="X63" i="4"/>
  <c r="X62" i="4"/>
  <c r="Z62" i="4"/>
  <c r="X61" i="4"/>
  <c r="Z61" i="4" s="1"/>
  <c r="X60" i="4"/>
  <c r="X59" i="4"/>
  <c r="X58" i="4"/>
  <c r="Z58" i="4"/>
  <c r="X57" i="4"/>
  <c r="X56" i="4"/>
  <c r="W56" i="4"/>
  <c r="AA56" i="4"/>
  <c r="J56" i="4"/>
  <c r="X55" i="4"/>
  <c r="W55" i="4"/>
  <c r="Z55" i="4" s="1"/>
  <c r="AA55" i="4"/>
  <c r="X54" i="4"/>
  <c r="W54" i="4"/>
  <c r="AA54" i="4"/>
  <c r="X53" i="4"/>
  <c r="Z53" i="4" s="1"/>
  <c r="W53" i="4"/>
  <c r="AA53" i="4"/>
  <c r="J53" i="4"/>
  <c r="X52" i="4"/>
  <c r="X51" i="4"/>
  <c r="W51" i="4"/>
  <c r="AA51" i="4" s="1"/>
  <c r="Z51" i="4"/>
  <c r="J51" i="4"/>
  <c r="X50" i="4"/>
  <c r="W50" i="4"/>
  <c r="Z50" i="4" s="1"/>
  <c r="AA50" i="4"/>
  <c r="X49" i="4"/>
  <c r="W49" i="4"/>
  <c r="X48" i="4"/>
  <c r="Z48" i="4" s="1"/>
  <c r="X47" i="4"/>
  <c r="W47" i="4"/>
  <c r="AA47" i="4"/>
  <c r="X46" i="4"/>
  <c r="W46" i="4"/>
  <c r="AA46" i="4" s="1"/>
  <c r="X45" i="4"/>
  <c r="W45" i="4"/>
  <c r="X44" i="4"/>
  <c r="Z44" i="4"/>
  <c r="X43" i="4"/>
  <c r="W43" i="4"/>
  <c r="Z43" i="4" s="1"/>
  <c r="X42" i="4"/>
  <c r="Z42" i="4" s="1"/>
  <c r="W42" i="4"/>
  <c r="AA42" i="4"/>
  <c r="X41" i="4"/>
  <c r="Z41" i="4"/>
  <c r="X40" i="4"/>
  <c r="W40" i="4"/>
  <c r="AA40" i="4" s="1"/>
  <c r="X39" i="4"/>
  <c r="W39" i="4"/>
  <c r="AA39" i="4"/>
  <c r="X38" i="4"/>
  <c r="W38" i="4"/>
  <c r="AA38" i="4" s="1"/>
  <c r="X37" i="4"/>
  <c r="Z37" i="4" s="1"/>
  <c r="X36" i="4"/>
  <c r="W36" i="4"/>
  <c r="AA36" i="4" s="1"/>
  <c r="X35" i="4"/>
  <c r="Z35" i="4" s="1"/>
  <c r="W35" i="4"/>
  <c r="AA35" i="4" s="1"/>
  <c r="X34" i="4"/>
  <c r="Z34" i="4"/>
  <c r="X33" i="4"/>
  <c r="Z33" i="4" s="1"/>
  <c r="W33" i="4"/>
  <c r="X32" i="4"/>
  <c r="W32" i="4"/>
  <c r="AA32" i="4"/>
  <c r="X31" i="4"/>
  <c r="W31" i="4"/>
  <c r="AA31" i="4"/>
  <c r="X30" i="4"/>
  <c r="Z30" i="4" s="1"/>
  <c r="X29" i="4"/>
  <c r="W29" i="4"/>
  <c r="AA29" i="4"/>
  <c r="X28" i="4"/>
  <c r="W28" i="4"/>
  <c r="AA28" i="4" s="1"/>
  <c r="X27" i="4"/>
  <c r="Z27" i="4" s="1"/>
  <c r="W27" i="4"/>
  <c r="X26" i="4"/>
  <c r="W26" i="4"/>
  <c r="AA26" i="4" s="1"/>
  <c r="J26" i="4"/>
  <c r="X25" i="4"/>
  <c r="Z25" i="4" s="1"/>
  <c r="W25" i="4"/>
  <c r="AA25" i="4" s="1"/>
  <c r="J25" i="4"/>
  <c r="X24" i="4"/>
  <c r="Z24" i="4" s="1"/>
  <c r="W24" i="4"/>
  <c r="AA24" i="4" s="1"/>
  <c r="X23" i="4"/>
  <c r="W23" i="4"/>
  <c r="AA23" i="4"/>
  <c r="J23" i="4"/>
  <c r="X22" i="4"/>
  <c r="W22" i="4"/>
  <c r="AA22" i="4"/>
  <c r="X21" i="4"/>
  <c r="W21" i="4"/>
  <c r="AA21" i="4"/>
  <c r="X20" i="4"/>
  <c r="Z20" i="4" s="1"/>
  <c r="W20" i="4"/>
  <c r="AA20" i="4"/>
  <c r="X19" i="4"/>
  <c r="W19" i="4"/>
  <c r="AA19" i="4" s="1"/>
  <c r="X18" i="4"/>
  <c r="W18" i="4"/>
  <c r="Z18" i="4"/>
  <c r="X17" i="4"/>
  <c r="W17" i="4"/>
  <c r="Z17" i="4" s="1"/>
  <c r="AA17" i="4"/>
  <c r="X16" i="4"/>
  <c r="W16" i="4"/>
  <c r="AA16" i="4" s="1"/>
  <c r="X15" i="4"/>
  <c r="Z15" i="4" s="1"/>
  <c r="W15" i="4"/>
  <c r="X14" i="4"/>
  <c r="Z14" i="4" s="1"/>
  <c r="W14" i="4"/>
  <c r="X13" i="4"/>
  <c r="W13" i="4"/>
  <c r="AA13" i="4"/>
  <c r="X12" i="4"/>
  <c r="W12" i="4"/>
  <c r="AA12" i="4" s="1"/>
  <c r="X11" i="4"/>
  <c r="Z11" i="4" s="1"/>
  <c r="W11" i="4"/>
  <c r="AA11" i="4" s="1"/>
  <c r="X10" i="4"/>
  <c r="W10" i="4"/>
  <c r="AA10" i="4" s="1"/>
  <c r="Z10" i="4"/>
  <c r="X9" i="4"/>
  <c r="W9" i="4"/>
  <c r="AA9" i="4"/>
  <c r="X8" i="4"/>
  <c r="W8" i="4"/>
  <c r="Z8" i="4" s="1"/>
  <c r="AA8" i="4"/>
  <c r="X7" i="4"/>
  <c r="W7" i="4"/>
  <c r="AA7" i="4" s="1"/>
  <c r="X6" i="4"/>
  <c r="Z6" i="4" s="1"/>
  <c r="W6" i="4"/>
  <c r="X5" i="4"/>
  <c r="W5" i="4"/>
  <c r="AA5" i="4"/>
  <c r="X4" i="4"/>
  <c r="W4" i="4"/>
  <c r="AA4" i="4"/>
  <c r="X3" i="4"/>
  <c r="Z23" i="4"/>
  <c r="Z46" i="4"/>
  <c r="Z63" i="4"/>
  <c r="Z31" i="4"/>
  <c r="Z59" i="4"/>
  <c r="Z60" i="4"/>
  <c r="Z40" i="4"/>
  <c r="Z21" i="4"/>
  <c r="Z28" i="4"/>
  <c r="Z49" i="4"/>
  <c r="Z54" i="4"/>
  <c r="Z32" i="4"/>
  <c r="Z74" i="4"/>
  <c r="Z56" i="4"/>
  <c r="Z68" i="4"/>
  <c r="Z39" i="4"/>
  <c r="Z45" i="4"/>
  <c r="Z7" i="4"/>
  <c r="Z15" i="3"/>
  <c r="AB15" i="3"/>
  <c r="AD15" i="3" s="1"/>
  <c r="Z23" i="3"/>
  <c r="AD23" i="3" s="1"/>
  <c r="AB23" i="3"/>
  <c r="Z31" i="3"/>
  <c r="AB31" i="3"/>
  <c r="Z39" i="3"/>
  <c r="AD39" i="3" s="1"/>
  <c r="AB39" i="3"/>
  <c r="AB112" i="3"/>
  <c r="AB111" i="3"/>
  <c r="AB110" i="3"/>
  <c r="AD110" i="3" s="1"/>
  <c r="AB109" i="3"/>
  <c r="AB108" i="3"/>
  <c r="AB107" i="3"/>
  <c r="AB106" i="3"/>
  <c r="AB105" i="3"/>
  <c r="AB104" i="3"/>
  <c r="AB103" i="3"/>
  <c r="AB102" i="3"/>
  <c r="AB101" i="3"/>
  <c r="AB100" i="3"/>
  <c r="AB99" i="3"/>
  <c r="AB98" i="3"/>
  <c r="AD98" i="3" s="1"/>
  <c r="AB97" i="3"/>
  <c r="AB96" i="3"/>
  <c r="AB95" i="3"/>
  <c r="AB94" i="3"/>
  <c r="AB93" i="3"/>
  <c r="AB92" i="3"/>
  <c r="AB91" i="3"/>
  <c r="AD91" i="3" s="1"/>
  <c r="AB90" i="3"/>
  <c r="AD90" i="3" s="1"/>
  <c r="AB89" i="3"/>
  <c r="AB88" i="3"/>
  <c r="AB87" i="3"/>
  <c r="AB86" i="3"/>
  <c r="AD86" i="3" s="1"/>
  <c r="AB85" i="3"/>
  <c r="AB84" i="3"/>
  <c r="AB83" i="3"/>
  <c r="AB82" i="3"/>
  <c r="AB81" i="3"/>
  <c r="AB80" i="3"/>
  <c r="AB79" i="3"/>
  <c r="AB78" i="3"/>
  <c r="AB77" i="3"/>
  <c r="AB76" i="3"/>
  <c r="AB75" i="3"/>
  <c r="AB74" i="3"/>
  <c r="AB73" i="3"/>
  <c r="AB72" i="3"/>
  <c r="AB71" i="3"/>
  <c r="AD71" i="3" s="1"/>
  <c r="AB70" i="3"/>
  <c r="AB69" i="3"/>
  <c r="AB68" i="3"/>
  <c r="AB67" i="3"/>
  <c r="AB66" i="3"/>
  <c r="AD66" i="3" s="1"/>
  <c r="AB65" i="3"/>
  <c r="AB64" i="3"/>
  <c r="AB63" i="3"/>
  <c r="AB62" i="3"/>
  <c r="AD62" i="3" s="1"/>
  <c r="AB61" i="3"/>
  <c r="AB60" i="3"/>
  <c r="AB59" i="3"/>
  <c r="Z59" i="3"/>
  <c r="AD59" i="3" s="1"/>
  <c r="AB58" i="3"/>
  <c r="AB57" i="3"/>
  <c r="AB56" i="3"/>
  <c r="AB55" i="3"/>
  <c r="AB54" i="3"/>
  <c r="AB53" i="3"/>
  <c r="AB52" i="3"/>
  <c r="AB51" i="3"/>
  <c r="AB50" i="3"/>
  <c r="AB49" i="3"/>
  <c r="AB48" i="3"/>
  <c r="AB47" i="3"/>
  <c r="AB46" i="3"/>
  <c r="AB45" i="3"/>
  <c r="AB44" i="3"/>
  <c r="AB43" i="3"/>
  <c r="AB14" i="3"/>
  <c r="AB16" i="3"/>
  <c r="AB17" i="3"/>
  <c r="AB18" i="3"/>
  <c r="AB19" i="3"/>
  <c r="AB20" i="3"/>
  <c r="AB21" i="3"/>
  <c r="AB22" i="3"/>
  <c r="AB24" i="3"/>
  <c r="AB25" i="3"/>
  <c r="AB26" i="3"/>
  <c r="AB27" i="3"/>
  <c r="AB28" i="3"/>
  <c r="AB29" i="3"/>
  <c r="AB30" i="3"/>
  <c r="AB32" i="3"/>
  <c r="AB33" i="3"/>
  <c r="AB34" i="3"/>
  <c r="AB35" i="3"/>
  <c r="AB36" i="3"/>
  <c r="AB37" i="3"/>
  <c r="AB38" i="3"/>
  <c r="AB40" i="3"/>
  <c r="AB41" i="3"/>
  <c r="AB42" i="3"/>
  <c r="AB13" i="3"/>
  <c r="AA112" i="3"/>
  <c r="AC112" i="3" s="1"/>
  <c r="Z112" i="3"/>
  <c r="AA111" i="3"/>
  <c r="Z111" i="3"/>
  <c r="AA110" i="3"/>
  <c r="Z110" i="3"/>
  <c r="AA109" i="3"/>
  <c r="Z109" i="3"/>
  <c r="AD109" i="3" s="1"/>
  <c r="AC109" i="3"/>
  <c r="AA108" i="3"/>
  <c r="AC108" i="3" s="1"/>
  <c r="Z108" i="3"/>
  <c r="AA107" i="3"/>
  <c r="Z107" i="3"/>
  <c r="AA106" i="3"/>
  <c r="AC106" i="3" s="1"/>
  <c r="Z106" i="3"/>
  <c r="AA105" i="3"/>
  <c r="Z105" i="3"/>
  <c r="AC105" i="3" s="1"/>
  <c r="AA104" i="3"/>
  <c r="Z104" i="3"/>
  <c r="AD104" i="3"/>
  <c r="AA103" i="3"/>
  <c r="AC103" i="3" s="1"/>
  <c r="Z103" i="3"/>
  <c r="AA102" i="3"/>
  <c r="Z102" i="3"/>
  <c r="AA101" i="3"/>
  <c r="Z101" i="3"/>
  <c r="AD101" i="3"/>
  <c r="AA100" i="3"/>
  <c r="AC100" i="3" s="1"/>
  <c r="Z100" i="3"/>
  <c r="AD100" i="3" s="1"/>
  <c r="AA99" i="3"/>
  <c r="Z99" i="3"/>
  <c r="AD99" i="3"/>
  <c r="AA98" i="3"/>
  <c r="AC98" i="3" s="1"/>
  <c r="Z98" i="3"/>
  <c r="AA97" i="3"/>
  <c r="Z97" i="3"/>
  <c r="AD97" i="3" s="1"/>
  <c r="AA96" i="3"/>
  <c r="Z96" i="3"/>
  <c r="AD96" i="3" s="1"/>
  <c r="AA95" i="3"/>
  <c r="Z95" i="3"/>
  <c r="AA94" i="3"/>
  <c r="Z94" i="3"/>
  <c r="AA93" i="3"/>
  <c r="AC93" i="3" s="1"/>
  <c r="Z93" i="3"/>
  <c r="AD93" i="3"/>
  <c r="AA92" i="3"/>
  <c r="Z92" i="3"/>
  <c r="AD92" i="3" s="1"/>
  <c r="AA91" i="3"/>
  <c r="Z91" i="3"/>
  <c r="AC91" i="3"/>
  <c r="AA90" i="3"/>
  <c r="Z90" i="3"/>
  <c r="AC90" i="3"/>
  <c r="AA89" i="3"/>
  <c r="Z89" i="3"/>
  <c r="AD89" i="3" s="1"/>
  <c r="AA88" i="3"/>
  <c r="Z88" i="3"/>
  <c r="AD88" i="3" s="1"/>
  <c r="AA87" i="3"/>
  <c r="Z87" i="3"/>
  <c r="AD87" i="3" s="1"/>
  <c r="AA86" i="3"/>
  <c r="Z86" i="3"/>
  <c r="AA85" i="3"/>
  <c r="Z85" i="3"/>
  <c r="AD85" i="3"/>
  <c r="AA84" i="3"/>
  <c r="Z84" i="3"/>
  <c r="AA83" i="3"/>
  <c r="AC83" i="3" s="1"/>
  <c r="Z83" i="3"/>
  <c r="AD83" i="3" s="1"/>
  <c r="AA82" i="3"/>
  <c r="Z82" i="3"/>
  <c r="AA81" i="3"/>
  <c r="AC81" i="3" s="1"/>
  <c r="Z81" i="3"/>
  <c r="AD81" i="3" s="1"/>
  <c r="AA80" i="3"/>
  <c r="Z80" i="3"/>
  <c r="AD80" i="3" s="1"/>
  <c r="AC80" i="3"/>
  <c r="AA79" i="3"/>
  <c r="Z79" i="3"/>
  <c r="AA78" i="3"/>
  <c r="AC78" i="3" s="1"/>
  <c r="Z78" i="3"/>
  <c r="AD78" i="3" s="1"/>
  <c r="AA77" i="3"/>
  <c r="Z77" i="3"/>
  <c r="AD77" i="3"/>
  <c r="AA76" i="3"/>
  <c r="Z76" i="3"/>
  <c r="AA75" i="3"/>
  <c r="AC75" i="3" s="1"/>
  <c r="Z75" i="3"/>
  <c r="AD75" i="3" s="1"/>
  <c r="AA74" i="3"/>
  <c r="Z74" i="3"/>
  <c r="AC74" i="3" s="1"/>
  <c r="AA73" i="3"/>
  <c r="AC73" i="3" s="1"/>
  <c r="Z73" i="3"/>
  <c r="AA72" i="3"/>
  <c r="Z72" i="3"/>
  <c r="AC72" i="3" s="1"/>
  <c r="AD72" i="3"/>
  <c r="AA71" i="3"/>
  <c r="Z71" i="3"/>
  <c r="AA70" i="3"/>
  <c r="Z70" i="3"/>
  <c r="AD70" i="3" s="1"/>
  <c r="AA69" i="3"/>
  <c r="Z69" i="3"/>
  <c r="AC69" i="3" s="1"/>
  <c r="AD69" i="3"/>
  <c r="AA68" i="3"/>
  <c r="Z68" i="3"/>
  <c r="AD68" i="3"/>
  <c r="AA67" i="3"/>
  <c r="AC67" i="3" s="1"/>
  <c r="Z67" i="3"/>
  <c r="AD67" i="3"/>
  <c r="AA66" i="3"/>
  <c r="Z66" i="3"/>
  <c r="AA65" i="3"/>
  <c r="Z65" i="3"/>
  <c r="AD65" i="3"/>
  <c r="AA64" i="3"/>
  <c r="Z64" i="3"/>
  <c r="AA63" i="3"/>
  <c r="Z63" i="3"/>
  <c r="AD63" i="3" s="1"/>
  <c r="AA62" i="3"/>
  <c r="Z62" i="3"/>
  <c r="AC62" i="3"/>
  <c r="AA61" i="3"/>
  <c r="AC61" i="3" s="1"/>
  <c r="Z61" i="3"/>
  <c r="AD61" i="3" s="1"/>
  <c r="AA60" i="3"/>
  <c r="AC60" i="3" s="1"/>
  <c r="Z60" i="3"/>
  <c r="AD60" i="3" s="1"/>
  <c r="AA59" i="3"/>
  <c r="AA58" i="3"/>
  <c r="AC58" i="3" s="1"/>
  <c r="Z58" i="3"/>
  <c r="AD58" i="3" s="1"/>
  <c r="AA57" i="3"/>
  <c r="AC57" i="3" s="1"/>
  <c r="Z57" i="3"/>
  <c r="AD57" i="3" s="1"/>
  <c r="AA56" i="3"/>
  <c r="Z56" i="3"/>
  <c r="AD56" i="3" s="1"/>
  <c r="AA55" i="3"/>
  <c r="AC55" i="3" s="1"/>
  <c r="Z55" i="3"/>
  <c r="AA54" i="3"/>
  <c r="Z54" i="3"/>
  <c r="AC54" i="3" s="1"/>
  <c r="AA53" i="3"/>
  <c r="AC53" i="3" s="1"/>
  <c r="Z53" i="3"/>
  <c r="AD53" i="3" s="1"/>
  <c r="AA52" i="3"/>
  <c r="Z52" i="3"/>
  <c r="AC52" i="3" s="1"/>
  <c r="AA51" i="3"/>
  <c r="Z51" i="3"/>
  <c r="AD51" i="3"/>
  <c r="AA50" i="3"/>
  <c r="AC50" i="3" s="1"/>
  <c r="Z50" i="3"/>
  <c r="AA49" i="3"/>
  <c r="Z49" i="3"/>
  <c r="AD49" i="3" s="1"/>
  <c r="AC49" i="3"/>
  <c r="AA48" i="3"/>
  <c r="Z48" i="3"/>
  <c r="AA47" i="3"/>
  <c r="AC47" i="3" s="1"/>
  <c r="Z47" i="3"/>
  <c r="AD47" i="3"/>
  <c r="AA46" i="3"/>
  <c r="AC46" i="3" s="1"/>
  <c r="Z46" i="3"/>
  <c r="AD46" i="3" s="1"/>
  <c r="AA45" i="3"/>
  <c r="Z45" i="3"/>
  <c r="AD45" i="3"/>
  <c r="AA44" i="3"/>
  <c r="Z44" i="3"/>
  <c r="AD44" i="3"/>
  <c r="AA43" i="3"/>
  <c r="AC43" i="3" s="1"/>
  <c r="Z43" i="3"/>
  <c r="AA42" i="3"/>
  <c r="Z42" i="3"/>
  <c r="AD42" i="3" s="1"/>
  <c r="AA41" i="3"/>
  <c r="AC41" i="3" s="1"/>
  <c r="Z41" i="3"/>
  <c r="AA40" i="3"/>
  <c r="Z40" i="3"/>
  <c r="AD40" i="3" s="1"/>
  <c r="AA39" i="3"/>
  <c r="AA38" i="3"/>
  <c r="AC38" i="3" s="1"/>
  <c r="Z38" i="3"/>
  <c r="AD38" i="3" s="1"/>
  <c r="AA37" i="3"/>
  <c r="Z37" i="3"/>
  <c r="AC37" i="3"/>
  <c r="AA36" i="3"/>
  <c r="AC36" i="3" s="1"/>
  <c r="Z36" i="3"/>
  <c r="AA35" i="3"/>
  <c r="Z35" i="3"/>
  <c r="AD35" i="3" s="1"/>
  <c r="AC35" i="3"/>
  <c r="AA34" i="3"/>
  <c r="Z34" i="3"/>
  <c r="AA33" i="3"/>
  <c r="AC33" i="3" s="1"/>
  <c r="Z33" i="3"/>
  <c r="AD33" i="3" s="1"/>
  <c r="AA32" i="3"/>
  <c r="Z32" i="3"/>
  <c r="AD32" i="3" s="1"/>
  <c r="AA31" i="3"/>
  <c r="AC31" i="3" s="1"/>
  <c r="AA30" i="3"/>
  <c r="Z30" i="3"/>
  <c r="AA29" i="3"/>
  <c r="Z29" i="3"/>
  <c r="AD29" i="3" s="1"/>
  <c r="AA28" i="3"/>
  <c r="Z28" i="3"/>
  <c r="AD28" i="3" s="1"/>
  <c r="AA27" i="3"/>
  <c r="Z27" i="3"/>
  <c r="AD27" i="3"/>
  <c r="AA26" i="3"/>
  <c r="AC26" i="3" s="1"/>
  <c r="Z26" i="3"/>
  <c r="AA25" i="3"/>
  <c r="Z25" i="3"/>
  <c r="AD25" i="3" s="1"/>
  <c r="AA24" i="3"/>
  <c r="AC24" i="3" s="1"/>
  <c r="Z24" i="3"/>
  <c r="AD24" i="3" s="1"/>
  <c r="AA23" i="3"/>
  <c r="AC23" i="3"/>
  <c r="AA22" i="3"/>
  <c r="Z22" i="3"/>
  <c r="AA21" i="3"/>
  <c r="Z21" i="3"/>
  <c r="AD21" i="3" s="1"/>
  <c r="AA20" i="3"/>
  <c r="Z20" i="3"/>
  <c r="AD20" i="3" s="1"/>
  <c r="AC20" i="3"/>
  <c r="AA19" i="3"/>
  <c r="Z19" i="3"/>
  <c r="AD19" i="3" s="1"/>
  <c r="AA18" i="3"/>
  <c r="Z18" i="3"/>
  <c r="AA17" i="3"/>
  <c r="Z17" i="3"/>
  <c r="AD17" i="3" s="1"/>
  <c r="AA16" i="3"/>
  <c r="Z16" i="3"/>
  <c r="AD16" i="3"/>
  <c r="AA15" i="3"/>
  <c r="AC15" i="3"/>
  <c r="AA14" i="3"/>
  <c r="Z14" i="3"/>
  <c r="AC14" i="3"/>
  <c r="AA13" i="3"/>
  <c r="AC13" i="3" s="1"/>
  <c r="Z13" i="3"/>
  <c r="AD13" i="3"/>
  <c r="AC85" i="3"/>
  <c r="AC71" i="3"/>
  <c r="AC88" i="3"/>
  <c r="AC76" i="3"/>
  <c r="AC19" i="3"/>
  <c r="AC27" i="3"/>
  <c r="AD36" i="3"/>
  <c r="AD55" i="3"/>
  <c r="AC86" i="3"/>
  <c r="AC44" i="3"/>
  <c r="AC18" i="3"/>
  <c r="AD22" i="3"/>
  <c r="AD52" i="3"/>
  <c r="AC68" i="3"/>
  <c r="AD76" i="3"/>
  <c r="AC77" i="3"/>
  <c r="AD111" i="3"/>
  <c r="AD79" i="3"/>
  <c r="AC99" i="3"/>
  <c r="AD107" i="3"/>
  <c r="AC110" i="3"/>
  <c r="AD41" i="3"/>
  <c r="AD43" i="3"/>
  <c r="AD84" i="3"/>
  <c r="AD95" i="3"/>
  <c r="AD108" i="3"/>
  <c r="R14" i="11"/>
  <c r="R19" i="11" s="1"/>
  <c r="V14" i="11"/>
  <c r="V19" i="11" s="1"/>
  <c r="Z65" i="4"/>
  <c r="Z29" i="4"/>
  <c r="Z47" i="4"/>
  <c r="Z16" i="4"/>
  <c r="Z57" i="4"/>
  <c r="Z5" i="4"/>
  <c r="Z9" i="4"/>
  <c r="Z12" i="4"/>
  <c r="Z26" i="4"/>
  <c r="Z36" i="4"/>
  <c r="AC84" i="3"/>
  <c r="AD14" i="3"/>
  <c r="AC30" i="3"/>
  <c r="AC39" i="3"/>
  <c r="AD50" i="3"/>
  <c r="AC51" i="3"/>
  <c r="AC70" i="3"/>
  <c r="AC101" i="3"/>
  <c r="AC65" i="3"/>
  <c r="AD102" i="3"/>
  <c r="AD48" i="3"/>
  <c r="AD64" i="3"/>
  <c r="AD112" i="3"/>
  <c r="AC17" i="3"/>
  <c r="AC34" i="3"/>
  <c r="AD54" i="3"/>
  <c r="AC64" i="3"/>
  <c r="AD82" i="3"/>
  <c r="AC102" i="3"/>
  <c r="AD106" i="3"/>
  <c r="AC107" i="3"/>
  <c r="AD18" i="3"/>
  <c r="AC22" i="3"/>
  <c r="AD30" i="3"/>
  <c r="AC56" i="3"/>
  <c r="AC79" i="3"/>
  <c r="AC82" i="3"/>
  <c r="AC89" i="3"/>
  <c r="AC95" i="3"/>
  <c r="AC111" i="3"/>
  <c r="AD34" i="3"/>
  <c r="AD31" i="3"/>
  <c r="AD26" i="3"/>
  <c r="AD37" i="3"/>
  <c r="AC28" i="3"/>
  <c r="AC16" i="3"/>
  <c r="AC21" i="3"/>
  <c r="AC45" i="3"/>
  <c r="AC48" i="3"/>
  <c r="AD73" i="3"/>
  <c r="AD105" i="3"/>
  <c r="AC66" i="3"/>
  <c r="P385" i="19" l="1"/>
  <c r="O387" i="19"/>
  <c r="O385" i="19"/>
  <c r="P382" i="19"/>
  <c r="P374" i="19"/>
  <c r="P366" i="19"/>
  <c r="P384" i="19"/>
  <c r="N382" i="19"/>
  <c r="P376" i="19"/>
  <c r="N374" i="19"/>
  <c r="P368" i="19"/>
  <c r="N366" i="19"/>
  <c r="O213" i="19"/>
  <c r="N213" i="19"/>
  <c r="N211" i="19"/>
  <c r="N209" i="19"/>
  <c r="N207" i="19"/>
  <c r="N205" i="19"/>
  <c r="N203" i="19"/>
  <c r="N201" i="19"/>
  <c r="N199" i="19"/>
  <c r="N197" i="19"/>
  <c r="N195" i="19"/>
  <c r="N193" i="19"/>
  <c r="N191" i="19"/>
  <c r="N189" i="19"/>
  <c r="N187" i="19"/>
  <c r="N185" i="19"/>
  <c r="N183" i="19"/>
  <c r="N181" i="19"/>
  <c r="N179" i="19"/>
  <c r="N177" i="19"/>
  <c r="N175" i="19"/>
  <c r="N173" i="19"/>
  <c r="N171" i="19"/>
  <c r="N169" i="19"/>
  <c r="N167" i="19"/>
  <c r="N165" i="19"/>
  <c r="N163" i="19"/>
  <c r="N161" i="19"/>
  <c r="N159" i="19"/>
  <c r="N157" i="19"/>
  <c r="N155" i="19"/>
  <c r="N153" i="19"/>
  <c r="N151" i="19"/>
  <c r="N149" i="19"/>
  <c r="N147" i="19"/>
  <c r="N145" i="19"/>
  <c r="N143" i="19"/>
  <c r="N141" i="19"/>
  <c r="N139" i="19"/>
  <c r="N137" i="19"/>
  <c r="N135" i="19"/>
  <c r="N133" i="19"/>
  <c r="N131" i="19"/>
  <c r="N129" i="19"/>
  <c r="N127" i="19"/>
  <c r="N125" i="19"/>
  <c r="N123" i="19"/>
  <c r="N121" i="19"/>
  <c r="N119" i="19"/>
  <c r="N117" i="19"/>
  <c r="N115" i="19"/>
  <c r="N113" i="19"/>
  <c r="N111" i="19"/>
  <c r="N109" i="19"/>
  <c r="N107" i="19"/>
  <c r="N105" i="19"/>
  <c r="N103" i="19"/>
  <c r="N101" i="19"/>
  <c r="N99" i="19"/>
  <c r="N97" i="19"/>
  <c r="N95" i="19"/>
  <c r="N93" i="19"/>
  <c r="N91" i="19"/>
  <c r="N88" i="19"/>
  <c r="P87" i="19"/>
  <c r="N83" i="19"/>
  <c r="O83" i="19"/>
  <c r="N65" i="19"/>
  <c r="O65" i="19"/>
  <c r="P65" i="19"/>
  <c r="N57" i="19"/>
  <c r="O57" i="19"/>
  <c r="P57" i="19"/>
  <c r="N49" i="19"/>
  <c r="O49" i="19"/>
  <c r="P49" i="19"/>
  <c r="O87" i="19"/>
  <c r="N81" i="19"/>
  <c r="O81" i="19"/>
  <c r="N67" i="19"/>
  <c r="O67" i="19"/>
  <c r="P67" i="19"/>
  <c r="N59" i="19"/>
  <c r="O59" i="19"/>
  <c r="P59" i="19"/>
  <c r="N51" i="19"/>
  <c r="O51" i="19"/>
  <c r="P51" i="19"/>
  <c r="N79" i="19"/>
  <c r="O79" i="19"/>
  <c r="N69" i="19"/>
  <c r="O69" i="19"/>
  <c r="P69" i="19"/>
  <c r="N61" i="19"/>
  <c r="O61" i="19"/>
  <c r="P61" i="19"/>
  <c r="N53" i="19"/>
  <c r="O53" i="19"/>
  <c r="P53" i="19"/>
  <c r="O88" i="19"/>
  <c r="N85" i="19"/>
  <c r="O85" i="19"/>
  <c r="P83" i="19"/>
  <c r="N77" i="19"/>
  <c r="O77" i="19"/>
  <c r="N75" i="19"/>
  <c r="O75" i="19"/>
  <c r="P75" i="19"/>
  <c r="N73" i="19"/>
  <c r="O73" i="19"/>
  <c r="P73" i="19"/>
  <c r="N71" i="19"/>
  <c r="O71" i="19"/>
  <c r="P71" i="19"/>
  <c r="N63" i="19"/>
  <c r="O63" i="19"/>
  <c r="P63" i="19"/>
  <c r="N55" i="19"/>
  <c r="O55" i="19"/>
  <c r="P55" i="19"/>
  <c r="N47" i="19"/>
  <c r="O47" i="19"/>
  <c r="P47" i="19"/>
  <c r="N70" i="19"/>
  <c r="N68" i="19"/>
  <c r="N66" i="19"/>
  <c r="N64" i="19"/>
  <c r="N62" i="19"/>
  <c r="N60" i="19"/>
  <c r="N58" i="19"/>
  <c r="N56" i="19"/>
  <c r="N54" i="19"/>
  <c r="N52" i="19"/>
  <c r="N50" i="19"/>
  <c r="N48" i="19"/>
  <c r="N46" i="19"/>
  <c r="P45" i="19"/>
  <c r="N44" i="19"/>
  <c r="P43" i="19"/>
  <c r="N42" i="19"/>
  <c r="P41" i="19"/>
  <c r="N40" i="19"/>
  <c r="P39" i="19"/>
  <c r="N38" i="19"/>
  <c r="P37" i="19"/>
  <c r="N36" i="19"/>
  <c r="P35" i="19"/>
  <c r="N34" i="19"/>
  <c r="P33" i="19"/>
  <c r="N32" i="19"/>
  <c r="P31" i="19"/>
  <c r="N30" i="19"/>
  <c r="P29" i="19"/>
  <c r="N28" i="19"/>
  <c r="P27" i="19"/>
  <c r="N26" i="19"/>
  <c r="P25" i="19"/>
  <c r="N24" i="19"/>
  <c r="P23" i="19"/>
  <c r="N22" i="19"/>
  <c r="P21" i="19"/>
  <c r="N20" i="19"/>
  <c r="P19" i="19"/>
  <c r="N18" i="19"/>
  <c r="P17" i="19"/>
  <c r="N16" i="19"/>
  <c r="P15" i="19"/>
  <c r="N14" i="19"/>
  <c r="P13" i="19"/>
  <c r="N12" i="19"/>
  <c r="P11" i="19"/>
  <c r="N10" i="19"/>
  <c r="P9" i="19"/>
  <c r="N8" i="19"/>
  <c r="P7" i="19"/>
  <c r="P5" i="19"/>
  <c r="P3" i="19"/>
  <c r="O45" i="19"/>
  <c r="O43" i="19"/>
  <c r="O41" i="19"/>
  <c r="O39" i="19"/>
  <c r="O37" i="19"/>
  <c r="O35" i="19"/>
  <c r="O33" i="19"/>
  <c r="O31" i="19"/>
  <c r="O29" i="19"/>
  <c r="O27" i="19"/>
  <c r="O25" i="19"/>
  <c r="O23" i="19"/>
  <c r="O21" i="19"/>
  <c r="O19" i="19"/>
  <c r="O17" i="19"/>
  <c r="O15" i="19"/>
  <c r="O13" i="19"/>
  <c r="O11" i="19"/>
  <c r="O9" i="19"/>
  <c r="O7" i="19"/>
  <c r="O5" i="19"/>
  <c r="O3" i="19"/>
  <c r="AF2" i="20"/>
  <c r="AB2" i="20"/>
  <c r="X2" i="20"/>
  <c r="T2" i="20"/>
  <c r="AE2" i="20"/>
  <c r="AA2" i="20"/>
  <c r="W2" i="20"/>
  <c r="AH2" i="20"/>
  <c r="AD2" i="20"/>
  <c r="Z2" i="20"/>
  <c r="V2" i="20"/>
  <c r="AG2" i="20"/>
  <c r="AC2" i="20"/>
  <c r="Y2" i="20"/>
  <c r="AA115" i="3"/>
  <c r="V43" i="9"/>
  <c r="V48" i="9" s="1"/>
  <c r="S11" i="10"/>
  <c r="S16" i="10" s="1"/>
  <c r="X11" i="10"/>
  <c r="X16" i="10" s="1"/>
  <c r="T11" i="10"/>
  <c r="T16" i="10" s="1"/>
  <c r="V11" i="10"/>
  <c r="V18" i="6"/>
  <c r="V23" i="6" s="1"/>
  <c r="AA18" i="6"/>
  <c r="AA23" i="6" s="1"/>
  <c r="W18" i="6"/>
  <c r="W23" i="6" s="1"/>
  <c r="Y18" i="6"/>
  <c r="W43" i="9"/>
  <c r="W48" i="9" s="1"/>
  <c r="U14" i="11"/>
  <c r="U19" i="11" s="1"/>
  <c r="T19" i="11"/>
  <c r="S14" i="11"/>
  <c r="S19" i="11" s="1"/>
  <c r="N21" i="5"/>
  <c r="T16" i="11"/>
  <c r="R16" i="11"/>
  <c r="R21" i="11" s="1"/>
  <c r="Q36" i="14"/>
  <c r="Q41" i="14" s="1"/>
  <c r="O36" i="14"/>
  <c r="O41" i="14" s="1"/>
  <c r="AC97" i="3"/>
  <c r="Y43" i="9"/>
  <c r="AC96" i="3"/>
  <c r="AC42" i="3"/>
  <c r="AC92" i="3"/>
  <c r="AC25" i="3"/>
  <c r="Z72" i="4"/>
  <c r="Z4" i="4"/>
  <c r="Z13" i="4"/>
  <c r="Z22" i="4"/>
  <c r="Z38" i="4"/>
  <c r="AA43" i="4"/>
  <c r="N36" i="5"/>
  <c r="I27" i="7"/>
  <c r="AA43" i="9"/>
  <c r="AA48" i="9" s="1"/>
  <c r="AA62" i="4"/>
  <c r="W77" i="4" s="1"/>
  <c r="W82" i="4" s="1"/>
  <c r="V77" i="4"/>
  <c r="V82" i="4" s="1"/>
  <c r="AA77" i="4"/>
  <c r="AA82" i="4" s="1"/>
  <c r="Q46" i="5"/>
  <c r="Q51" i="5" s="1"/>
  <c r="L46" i="5"/>
  <c r="L51" i="5" s="1"/>
  <c r="O46" i="5"/>
  <c r="AC63" i="3"/>
  <c r="AC29" i="3"/>
  <c r="Z19" i="4"/>
  <c r="AC40" i="3"/>
  <c r="AC59" i="3"/>
  <c r="AD94" i="3"/>
  <c r="Z52" i="4"/>
  <c r="AC94" i="3"/>
  <c r="AC87" i="3"/>
  <c r="AC32" i="3"/>
  <c r="AD74" i="3"/>
  <c r="X115" i="3" s="1"/>
  <c r="X120" i="3" s="1"/>
  <c r="AD103" i="3"/>
  <c r="AC104" i="3"/>
  <c r="Z3" i="4"/>
  <c r="AA33" i="4"/>
  <c r="N10" i="5"/>
  <c r="N33" i="5"/>
  <c r="J22" i="7"/>
  <c r="J27" i="7" s="1"/>
  <c r="V16" i="11"/>
  <c r="V21" i="11" s="1"/>
  <c r="P41" i="14"/>
  <c r="W119" i="1"/>
  <c r="Q16" i="11"/>
  <c r="Q21" i="11" s="1"/>
  <c r="Q47" i="5" l="1"/>
  <c r="Q52" i="5" s="1"/>
  <c r="M47" i="5"/>
  <c r="M52" i="5" s="1"/>
  <c r="O47" i="5"/>
  <c r="L47" i="5"/>
  <c r="L52" i="5" s="1"/>
  <c r="T21" i="11"/>
  <c r="S16" i="11"/>
  <c r="S21" i="11" s="1"/>
  <c r="U16" i="11"/>
  <c r="U21" i="11" s="1"/>
  <c r="AC115" i="3"/>
  <c r="AC120" i="3" s="1"/>
  <c r="N46" i="5"/>
  <c r="N51" i="5" s="1"/>
  <c r="P46" i="5"/>
  <c r="P51" i="5" s="1"/>
  <c r="O51" i="5"/>
  <c r="Z115" i="3"/>
  <c r="Z120" i="3" s="1"/>
  <c r="AB115" i="3"/>
  <c r="AB120" i="3" s="1"/>
  <c r="AA120" i="3"/>
  <c r="Y77" i="4"/>
  <c r="Y115" i="3"/>
  <c r="Y120" i="3" s="1"/>
  <c r="Y48" i="9"/>
  <c r="X43" i="9"/>
  <c r="X48" i="9" s="1"/>
  <c r="Z43" i="9"/>
  <c r="Z48" i="9" s="1"/>
  <c r="Z18" i="6"/>
  <c r="Z23" i="6" s="1"/>
  <c r="Y23" i="6"/>
  <c r="X18" i="6"/>
  <c r="X23" i="6" s="1"/>
  <c r="W11" i="10"/>
  <c r="W16" i="10" s="1"/>
  <c r="V16" i="10"/>
  <c r="U11" i="10"/>
  <c r="U16" i="10" s="1"/>
  <c r="N47" i="5" l="1"/>
  <c r="N52" i="5" s="1"/>
  <c r="P47" i="5"/>
  <c r="P52" i="5" s="1"/>
  <c r="O52" i="5"/>
  <c r="Z77" i="4"/>
  <c r="Z82" i="4" s="1"/>
  <c r="X77" i="4"/>
  <c r="X82" i="4" s="1"/>
  <c r="Y8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Hannu Seebeck</author>
    <author>Chris Hollis</author>
  </authors>
  <commentList>
    <comment ref="G6" authorId="0" shapeId="0" xr:uid="{00000000-0006-0000-0100-000001000000}">
      <text>
        <r>
          <rPr>
            <b/>
            <sz val="9"/>
            <color indexed="81"/>
            <rFont val="Tahoma"/>
            <family val="2"/>
          </rPr>
          <t>Hannu Seebeck:</t>
        </r>
        <r>
          <rPr>
            <sz val="9"/>
            <color indexed="81"/>
            <rFont val="Tahoma"/>
            <family val="2"/>
          </rPr>
          <t xml:space="preserve">
Matthews et al 2016 uses Moving Hot Spot reference frame of Torsvik et al 2008</t>
        </r>
      </text>
    </comment>
    <comment ref="I6" authorId="0" shapeId="0" xr:uid="{00000000-0006-0000-0100-000002000000}">
      <text>
        <r>
          <rPr>
            <b/>
            <sz val="9"/>
            <color indexed="81"/>
            <rFont val="Tahoma"/>
            <family val="2"/>
          </rPr>
          <t>Hannu Seebeck:</t>
        </r>
        <r>
          <rPr>
            <sz val="9"/>
            <color indexed="81"/>
            <rFont val="Tahoma"/>
            <family val="2"/>
          </rPr>
          <t xml:space="preserve">
Matthews et al 2016 with Global Apparent Polar wander substituted from Torsvik et al 2012</t>
        </r>
      </text>
    </comment>
    <comment ref="E34" authorId="1" shapeId="0" xr:uid="{00000000-0006-0000-0100-000003000000}">
      <text>
        <r>
          <rPr>
            <b/>
            <sz val="9"/>
            <color indexed="81"/>
            <rFont val="Tahoma"/>
            <family val="2"/>
          </rPr>
          <t>Chris Hollis:</t>
        </r>
        <r>
          <rPr>
            <sz val="9"/>
            <color indexed="81"/>
            <rFont val="Tahoma"/>
            <family val="2"/>
          </rPr>
          <t xml:space="preserve">
Check location</t>
        </r>
      </text>
    </comment>
    <comment ref="AA144" authorId="1" shapeId="0" xr:uid="{00000000-0006-0000-0100-000004000000}">
      <text>
        <r>
          <rPr>
            <b/>
            <sz val="9"/>
            <color indexed="81"/>
            <rFont val="Tahoma"/>
            <family val="2"/>
          </rPr>
          <t>Chris Hollis:</t>
        </r>
        <r>
          <rPr>
            <sz val="9"/>
            <color indexed="81"/>
            <rFont val="Tahoma"/>
            <family val="2"/>
          </rPr>
          <t xml:space="preserve">
Not in refs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Hannu Seebeck</author>
  </authors>
  <commentList>
    <comment ref="H1" authorId="0" shapeId="0" xr:uid="{00000000-0006-0000-0A00-000001000000}">
      <text>
        <r>
          <rPr>
            <b/>
            <sz val="9"/>
            <color indexed="81"/>
            <rFont val="Tahoma"/>
            <family val="2"/>
          </rPr>
          <t>Hannu Seebeck:</t>
        </r>
        <r>
          <rPr>
            <sz val="9"/>
            <color indexed="81"/>
            <rFont val="Tahoma"/>
            <family val="2"/>
          </rPr>
          <t xml:space="preserve">
Matthews et al 2016 uses Moving Hot Spot reference frame of Torsvik et al 2008</t>
        </r>
      </text>
    </comment>
    <comment ref="J1" authorId="0" shapeId="0" xr:uid="{00000000-0006-0000-0A00-000002000000}">
      <text>
        <r>
          <rPr>
            <b/>
            <sz val="9"/>
            <color indexed="81"/>
            <rFont val="Tahoma"/>
            <family val="2"/>
          </rPr>
          <t>Hannu Seebeck:</t>
        </r>
        <r>
          <rPr>
            <sz val="9"/>
            <color indexed="81"/>
            <rFont val="Tahoma"/>
            <family val="2"/>
          </rPr>
          <t xml:space="preserve">
Matthews et al 2016 with Global Apparent Polar wander substituted from Torsvik et al 2012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D3" authorId="0" shapeId="0" xr:uid="{00000000-0006-0000-0F00-000001000000}">
      <text>
        <r>
          <rPr>
            <b/>
            <sz val="9"/>
            <color indexed="81"/>
            <rFont val="Calibri"/>
            <family val="2"/>
          </rPr>
          <t>user: Reference for the depth scale used - this would most likely be same as the primary proxy data reference, but in some circumstances could change (depths updated after publication).</t>
        </r>
      </text>
    </comment>
    <comment ref="C6" authorId="0" shapeId="0" xr:uid="{00000000-0006-0000-0F00-000002000000}">
      <text>
        <r>
          <rPr>
            <b/>
            <sz val="9"/>
            <color indexed="81"/>
            <rFont val="Calibri"/>
            <family val="2"/>
          </rPr>
          <t>user: Reference for the paleodepth / paleoenvironment. This may be the same as the proxy data source.</t>
        </r>
      </text>
    </comment>
    <comment ref="D6" authorId="0" shapeId="0" xr:uid="{00000000-0006-0000-0F00-000003000000}">
      <text>
        <r>
          <rPr>
            <b/>
            <sz val="9"/>
            <color indexed="81"/>
            <rFont val="Calibri"/>
            <family val="2"/>
          </rPr>
          <t>user: Reference for the paleodepth / paleoenvironment. This may be the same as the proxy data source.</t>
        </r>
      </text>
    </comment>
    <comment ref="C7" authorId="0" shapeId="0" xr:uid="{00000000-0006-0000-0F00-000004000000}">
      <text>
        <r>
          <rPr>
            <b/>
            <sz val="9"/>
            <color indexed="81"/>
            <rFont val="Calibri"/>
            <family val="2"/>
          </rPr>
          <t>user: What is the age model based on? E.g. biostratigraphy (and group - calc. nanno, foram, dinos); cyclostratigraphy; magnetostrat.; radiometric dates.. Or a combination of these of others.</t>
        </r>
        <r>
          <rPr>
            <sz val="9"/>
            <color indexed="81"/>
            <rFont val="Calibri"/>
            <family val="2"/>
          </rPr>
          <t xml:space="preserve">
</t>
        </r>
      </text>
    </comment>
    <comment ref="D7" authorId="0" shapeId="0" xr:uid="{00000000-0006-0000-0F00-000005000000}">
      <text>
        <r>
          <rPr>
            <b/>
            <sz val="9"/>
            <color indexed="81"/>
            <rFont val="Calibri"/>
            <family val="2"/>
          </rPr>
          <t>user: add a reference for the age model - if this comes from the primary source of proxy data, refence that here too.</t>
        </r>
        <r>
          <rPr>
            <sz val="9"/>
            <color indexed="81"/>
            <rFont val="Calibri"/>
            <family val="2"/>
          </rPr>
          <t xml:space="preserve">
</t>
        </r>
      </text>
    </comment>
    <comment ref="C8" authorId="0" shapeId="0" xr:uid="{00000000-0006-0000-0F00-000006000000}">
      <text>
        <r>
          <rPr>
            <b/>
            <sz val="9"/>
            <color indexed="81"/>
            <rFont val="Calibri"/>
            <family val="2"/>
          </rPr>
          <t>user: add a reference for the age model - if this comes from the primary source of proxy data, refence that here too.</t>
        </r>
        <r>
          <rPr>
            <sz val="9"/>
            <color indexed="81"/>
            <rFont val="Calibri"/>
            <family val="2"/>
          </rPr>
          <t xml:space="preserve">
</t>
        </r>
      </text>
    </comment>
    <comment ref="D8" authorId="0" shapeId="0" xr:uid="{00000000-0006-0000-0F00-000007000000}">
      <text>
        <r>
          <rPr>
            <b/>
            <sz val="9"/>
            <color indexed="81"/>
            <rFont val="Calibri"/>
            <family val="2"/>
          </rPr>
          <t>user: add a reference for the age model - if this comes from the primary source of proxy data, refence that here too.</t>
        </r>
        <r>
          <rPr>
            <sz val="9"/>
            <color indexed="81"/>
            <rFont val="Calibri"/>
            <family val="2"/>
          </rPr>
          <t xml:space="preserve">
</t>
        </r>
      </text>
    </comment>
    <comment ref="C9" authorId="0" shapeId="0" xr:uid="{00000000-0006-0000-0F00-000008000000}">
      <text>
        <r>
          <rPr>
            <b/>
            <sz val="9"/>
            <color indexed="81"/>
            <rFont val="Calibri"/>
            <family val="2"/>
          </rPr>
          <t>user: Reference for the depth scale used - this would most likely be same as the primary proxy data reference, but in some circumstances could change (depths updated after publication).</t>
        </r>
      </text>
    </comment>
    <comment ref="D9" authorId="0" shapeId="0" xr:uid="{00000000-0006-0000-0F00-000009000000}">
      <text>
        <r>
          <rPr>
            <b/>
            <sz val="9"/>
            <color indexed="81"/>
            <rFont val="Calibri"/>
            <family val="2"/>
          </rPr>
          <t>user: Reference for the depth scale used - this would most likely be same as the primary proxy data reference, but in some circumstances could change (depths updated after publication).</t>
        </r>
      </text>
    </comment>
  </commentList>
</comments>
</file>

<file path=xl/sharedStrings.xml><?xml version="1.0" encoding="utf-8"?>
<sst xmlns="http://schemas.openxmlformats.org/spreadsheetml/2006/main" count="5428" uniqueCount="982">
  <si>
    <t>Age</t>
  </si>
  <si>
    <t>Reference</t>
  </si>
  <si>
    <t>late Paleocene/early Eocene</t>
  </si>
  <si>
    <t>MAATs calculated from averaged floras (several collection localities added together)</t>
  </si>
  <si>
    <t>Huber and Caballero, 2011</t>
  </si>
  <si>
    <t>Paleogene (Eocene)</t>
  </si>
  <si>
    <t>Yang et al., 2011</t>
  </si>
  <si>
    <t>http://clamp.ibcas.ac.cn/CLAMP_Uncertainties.html</t>
  </si>
  <si>
    <t>early Eocene (50-48 Myr)</t>
  </si>
  <si>
    <t>Chuckanut, WA - CLAMP</t>
  </si>
  <si>
    <t>Shukla et al., 2014</t>
  </si>
  <si>
    <t>As re-calculated in Snell et al., 2013</t>
  </si>
  <si>
    <t>Grein et al., 2011; Lenz et al., 2015</t>
  </si>
  <si>
    <t>Grein et al., 2011</t>
  </si>
  <si>
    <t>Peppe et al., 2011</t>
  </si>
  <si>
    <t>Pancost et al., 2013</t>
  </si>
  <si>
    <t>Pross et al., 2012</t>
  </si>
  <si>
    <t>Carpenter et al., 2012</t>
  </si>
  <si>
    <t>Suan et al., 2017</t>
  </si>
  <si>
    <t>Hyland et al., 2017</t>
  </si>
  <si>
    <t>Wind River Basin</t>
  </si>
  <si>
    <t>Hyland et al., 2013</t>
  </si>
  <si>
    <t>Green River Basin</t>
  </si>
  <si>
    <t>Oxygen isotopes paleosols</t>
  </si>
  <si>
    <t>Hyland and Sheldon, 2013</t>
  </si>
  <si>
    <t>Ellesmere Island</t>
  </si>
  <si>
    <t>Big Bend</t>
  </si>
  <si>
    <t>Oxygen isotopes mammals</t>
  </si>
  <si>
    <t>Fricke and Wing, 2004</t>
  </si>
  <si>
    <t>San Juan Basin</t>
  </si>
  <si>
    <t>Bighorn Basin</t>
  </si>
  <si>
    <t>Powder River Basin</t>
  </si>
  <si>
    <t>Weijers et al., 2007</t>
  </si>
  <si>
    <t>Peterse et al., 2012</t>
  </si>
  <si>
    <t>Harrell Core, Meridian, MS</t>
  </si>
  <si>
    <t>Sluijs et al., 2014</t>
  </si>
  <si>
    <t>Gulf Coastal Plain USA</t>
  </si>
  <si>
    <t>Keating-Bitonti et al., 2011</t>
  </si>
  <si>
    <t>Bijl et al., 2013</t>
  </si>
  <si>
    <t>IODP Site 1172</t>
  </si>
  <si>
    <t>Mid-Waipara River</t>
  </si>
  <si>
    <t>latest Paleocene</t>
  </si>
  <si>
    <t>Schoon et al., 2015</t>
  </si>
  <si>
    <t>PETM</t>
  </si>
  <si>
    <t>Paleoenvironment</t>
  </si>
  <si>
    <t>Locality</t>
  </si>
  <si>
    <t>Argentina</t>
  </si>
  <si>
    <t>State/Country</t>
  </si>
  <si>
    <t>India</t>
  </si>
  <si>
    <t>New Zealand</t>
  </si>
  <si>
    <t>Australia</t>
  </si>
  <si>
    <t>Germany</t>
  </si>
  <si>
    <t>Antarctica</t>
  </si>
  <si>
    <t>China</t>
  </si>
  <si>
    <t>North Sea</t>
  </si>
  <si>
    <t>Estuarine</t>
  </si>
  <si>
    <t>Russia</t>
  </si>
  <si>
    <t>range 20.9°C to 24.5°C</t>
  </si>
  <si>
    <t>Colorado/Utah, USA</t>
  </si>
  <si>
    <t>California, USA</t>
  </si>
  <si>
    <t>Washington, USA</t>
  </si>
  <si>
    <t>Alaska, USA</t>
  </si>
  <si>
    <t>May need to use published Pancost et al. MAT?</t>
  </si>
  <si>
    <t>Canadian Arctic</t>
  </si>
  <si>
    <t>North Dakota, USA</t>
  </si>
  <si>
    <t>Wyoming, USA</t>
  </si>
  <si>
    <t>GDGT Lignite proxy</t>
  </si>
  <si>
    <t>England</t>
  </si>
  <si>
    <t>Proxy</t>
  </si>
  <si>
    <t>*Proxy abbreviations:</t>
  </si>
  <si>
    <t>CA - Coexistence Approach</t>
  </si>
  <si>
    <t>BA - Bioclimatic Analysis</t>
  </si>
  <si>
    <t>LMA - Leaf Margin Analysis (for calibration details see temperature spreadsheet)</t>
  </si>
  <si>
    <t>CLAMP - Climate Leaf Analysis Multivariate Program (for calibration details see temperature spreadsheet)</t>
  </si>
  <si>
    <t>GDGT-lignite (see Naafs et al. 2018)</t>
  </si>
  <si>
    <t>early Eocene</t>
  </si>
  <si>
    <t>Schöningen lignite</t>
  </si>
  <si>
    <t>Naafs et al. 2018</t>
  </si>
  <si>
    <t xml:space="preserve">Pine Grove 1 </t>
  </si>
  <si>
    <t>Hren et al. 2010; Huber &amp; Caballero 2011</t>
  </si>
  <si>
    <t>Mountain Boy</t>
  </si>
  <si>
    <t>Pentz</t>
  </si>
  <si>
    <t>Cherokee Site 1</t>
  </si>
  <si>
    <t>Council Hill</t>
  </si>
  <si>
    <t>Woolsey Flat</t>
  </si>
  <si>
    <t>Gold Bug</t>
  </si>
  <si>
    <t>Scotts Flat</t>
  </si>
  <si>
    <t xml:space="preserve">You Bet 2 </t>
  </si>
  <si>
    <t>Hidden Gold Camp</t>
  </si>
  <si>
    <t xml:space="preserve">Iowa Hill </t>
  </si>
  <si>
    <t>Fiona Hill</t>
  </si>
  <si>
    <t>China Gulch</t>
  </si>
  <si>
    <t>Camanche Bridge</t>
  </si>
  <si>
    <t>Comment</t>
  </si>
  <si>
    <t>Norwegian-Greenland Sea</t>
  </si>
  <si>
    <t>BC, Canada</t>
  </si>
  <si>
    <t>New Mexico, USA</t>
  </si>
  <si>
    <t>Mississippi, USA</t>
  </si>
  <si>
    <t>Alabama, USA</t>
  </si>
  <si>
    <t>Texas, USA</t>
  </si>
  <si>
    <t xml:space="preserve">early Eocene </t>
  </si>
  <si>
    <t>Upper coals in section.</t>
  </si>
  <si>
    <t>Otaio River</t>
  </si>
  <si>
    <t>Pancost et al., 2013; Kennedy et al. in prep.</t>
  </si>
  <si>
    <t xml:space="preserve">MBT/CBT </t>
  </si>
  <si>
    <t>Cobham lignite</t>
  </si>
  <si>
    <t>Oxygen isotopes; There also seems to be a latest Paleocene Ellesmere Island floral record - Ellesmere Island (U.S. 111), not clear if the isotopes are from the same locality. (Greenwood et al. 2010).</t>
  </si>
  <si>
    <t>BA</t>
  </si>
  <si>
    <t>CLAMP</t>
  </si>
  <si>
    <t>Faddeevsky Island</t>
  </si>
  <si>
    <t>Belkovsky Island</t>
  </si>
  <si>
    <t>Kulthieth</t>
  </si>
  <si>
    <t>Mammal d18O</t>
  </si>
  <si>
    <t>LMA</t>
  </si>
  <si>
    <t>GDGT Lignite</t>
  </si>
  <si>
    <t>Messel oil shale</t>
  </si>
  <si>
    <t>CA</t>
  </si>
  <si>
    <t>Driftwood Canyon</t>
  </si>
  <si>
    <t>Horsefly</t>
  </si>
  <si>
    <t>Republic</t>
  </si>
  <si>
    <t>Puget 9676/9677 WA</t>
  </si>
  <si>
    <t>Puget 9841 WA</t>
  </si>
  <si>
    <t>Hickey (1977); Huber and Caballero, 2011</t>
  </si>
  <si>
    <t>Yellowstone-Sepulcher</t>
  </si>
  <si>
    <t>Fushun, China</t>
  </si>
  <si>
    <t>Green River/Wind River</t>
  </si>
  <si>
    <t>Chalk Bluffs</t>
  </si>
  <si>
    <t>Gurha Mine</t>
  </si>
  <si>
    <t>Cambalong Creek</t>
  </si>
  <si>
    <t>late Paleocene</t>
  </si>
  <si>
    <t>Greenwood et al. 2003</t>
  </si>
  <si>
    <t>Australian calibration</t>
  </si>
  <si>
    <t>Hotham Heights</t>
  </si>
  <si>
    <t>Greenwood et al. 2003; Huber and Caballero, 2011</t>
  </si>
  <si>
    <t>Brandy Creek</t>
  </si>
  <si>
    <t>Dean’s Marsh</t>
  </si>
  <si>
    <t>Laguna del Hunco</t>
  </si>
  <si>
    <t>Fricke and Wing 2004; Huber and Caballero, 2011</t>
  </si>
  <si>
    <t>Eldrett et al. 2009; Huber and Caballero, 2011</t>
  </si>
  <si>
    <t>Greenwood et al. 2005; Huber and Caballero, 2011</t>
  </si>
  <si>
    <t>McAbee</t>
  </si>
  <si>
    <t>Falkland</t>
  </si>
  <si>
    <t>Quilchena</t>
  </si>
  <si>
    <t>Wang et al. 2010; Huber and Caballero, 2011</t>
  </si>
  <si>
    <t>The temperature estimate  appears to be based on macrofossils from the JiJuntun Formation which is middle Eocene, rather than early Eocene.</t>
  </si>
  <si>
    <t>Physg3brc/Met3br calibration</t>
  </si>
  <si>
    <t>Physg3brc/Met3br/GRIDMet3br calibration</t>
  </si>
  <si>
    <t>Kowalski and Dilcher 2003 LMA calibration</t>
  </si>
  <si>
    <t>Digital leaf physiognomy</t>
  </si>
  <si>
    <t>Camel’s Butte</t>
  </si>
  <si>
    <t>PhysgAsia2/GRIDMetAsia2</t>
  </si>
  <si>
    <t>Calibration</t>
  </si>
  <si>
    <t>Wolfe 1994; Huber and Caballero, 2011</t>
  </si>
  <si>
    <t>106-site CLAMP calibration: Wolfe 1993, 1994</t>
  </si>
  <si>
    <t>Several LMA calibrations: Wilf 1997; Wing and Greenwood 1993; Traiser et al. 2005</t>
  </si>
  <si>
    <t>Wolfe 1993</t>
  </si>
  <si>
    <t>Peppe et al. 2011 LMA calibration</t>
  </si>
  <si>
    <t>52 Ma (Mantle)</t>
  </si>
  <si>
    <t>52 Ma (Pmag)</t>
  </si>
  <si>
    <t>Pmag-Mantle</t>
  </si>
  <si>
    <t>Paleolat.</t>
  </si>
  <si>
    <t>Paleolong.</t>
  </si>
  <si>
    <t>Fossil Hill</t>
  </si>
  <si>
    <t>Wood physiognomy</t>
  </si>
  <si>
    <t>Jacques et al. 2014 CLAMP calibration</t>
  </si>
  <si>
    <t>Ligorio Marquez</t>
  </si>
  <si>
    <t>Chile</t>
  </si>
  <si>
    <t>Paleocene/early Eocene</t>
  </si>
  <si>
    <t>Caleta Cocholgue</t>
  </si>
  <si>
    <t>MLR</t>
  </si>
  <si>
    <t>SLR</t>
  </si>
  <si>
    <t>CCA</t>
  </si>
  <si>
    <t>Gayo et al. 2005</t>
  </si>
  <si>
    <t>Gayo et al. 2005; Hinojosa et al.  2006</t>
  </si>
  <si>
    <t>MLR - Multiple Linear Regression</t>
  </si>
  <si>
    <t>SLR - Single Linear Regression (e.g. LMA)</t>
  </si>
  <si>
    <t>CCA - Canonical Correspondence Analysis (e.g. CLAMP but sometimes variations have been used - see specific reference associated with estimate)</t>
  </si>
  <si>
    <t>Hinojosa et al.  2006</t>
  </si>
  <si>
    <t>Calibration in Hinojosa et al.  2006</t>
  </si>
  <si>
    <t>Rio Pichileufu</t>
  </si>
  <si>
    <t>Hinojosa 2005 calibration</t>
  </si>
  <si>
    <t>Hinojosa et al. 2006</t>
  </si>
  <si>
    <t>Hinojosa 2005; Hinojosa et al. 2006</t>
  </si>
  <si>
    <t>Note that the Ligorio Marquez Formation straddles the Chile-Argentina border. A recent paper by Carpenter et al. (2018) also investigates the LF flora, from exposures in Argentina.</t>
  </si>
  <si>
    <t>Marine</t>
  </si>
  <si>
    <t>Time slice</t>
  </si>
  <si>
    <t>LP</t>
  </si>
  <si>
    <t>EE</t>
  </si>
  <si>
    <t>PE</t>
  </si>
  <si>
    <t>Mean</t>
  </si>
  <si>
    <t>Lower</t>
  </si>
  <si>
    <t>Upper</t>
  </si>
  <si>
    <t>Latitude</t>
  </si>
  <si>
    <t>Longitude</t>
  </si>
  <si>
    <t>Reference for  error</t>
  </si>
  <si>
    <t>IODP Site U1356</t>
  </si>
  <si>
    <t xml:space="preserve"> IODP Site U1356</t>
  </si>
  <si>
    <t>Published paleolat.</t>
  </si>
  <si>
    <t>Lowland peat</t>
  </si>
  <si>
    <t>Lowland coastal peat</t>
  </si>
  <si>
    <t>Matanomadh seam</t>
  </si>
  <si>
    <t>Panandhro seam</t>
  </si>
  <si>
    <t>Khadsaliya Clays</t>
  </si>
  <si>
    <t>Barsingsar seam</t>
  </si>
  <si>
    <t>Kasnau Matasukh seam</t>
  </si>
  <si>
    <t>early/early middle Eocene</t>
  </si>
  <si>
    <t>Peatland</t>
  </si>
  <si>
    <t>Expedition</t>
  </si>
  <si>
    <t>Site</t>
  </si>
  <si>
    <t>Hole</t>
  </si>
  <si>
    <t>Type</t>
  </si>
  <si>
    <t>Section</t>
  </si>
  <si>
    <t>CBT</t>
  </si>
  <si>
    <t>MBT</t>
  </si>
  <si>
    <t>MAT Weijers 2007 cal. (oC)</t>
  </si>
  <si>
    <t>A</t>
  </si>
  <si>
    <t>X</t>
  </si>
  <si>
    <t>cc</t>
  </si>
  <si>
    <t>MAT Peterse 2012 cal. (oC)</t>
  </si>
  <si>
    <t>Core</t>
  </si>
  <si>
    <t>Interval top</t>
  </si>
  <si>
    <t>Interval Bottom</t>
  </si>
  <si>
    <t>top depth (mbsf)</t>
  </si>
  <si>
    <t>bottom depth (mbsf)</t>
  </si>
  <si>
    <t>mid-depth (mbsf)</t>
  </si>
  <si>
    <t>IIIb</t>
  </si>
  <si>
    <t>IIIc</t>
  </si>
  <si>
    <t>Ib</t>
  </si>
  <si>
    <t>Ic</t>
  </si>
  <si>
    <t>MBT'</t>
  </si>
  <si>
    <t>U1356</t>
  </si>
  <si>
    <t>R</t>
  </si>
  <si>
    <t>CC</t>
  </si>
  <si>
    <t>W</t>
  </si>
  <si>
    <t>brGDGT-IIIa</t>
  </si>
  <si>
    <t>brGDGT-IIIb</t>
  </si>
  <si>
    <t>brGDGT-IIIc</t>
  </si>
  <si>
    <t>brGDGT-IIa</t>
  </si>
  <si>
    <t>brGDGT-IIb</t>
  </si>
  <si>
    <t>brGDGT-IIc</t>
  </si>
  <si>
    <t>brGDGT-Ia</t>
  </si>
  <si>
    <t>brGDGT-Ib</t>
  </si>
  <si>
    <t>brGDGT-Ic</t>
  </si>
  <si>
    <t>Sample information</t>
  </si>
  <si>
    <t>Biomarker data</t>
  </si>
  <si>
    <t>coresec</t>
  </si>
  <si>
    <t>interval</t>
  </si>
  <si>
    <t>depth</t>
  </si>
  <si>
    <t>age (Ma) (GTS 2004)</t>
  </si>
  <si>
    <t>age (GTS2012) (ref)</t>
  </si>
  <si>
    <t>1172A</t>
  </si>
  <si>
    <t>47X-5W</t>
  </si>
  <si>
    <t>10-12 cm</t>
  </si>
  <si>
    <t>48R-3W</t>
  </si>
  <si>
    <t>48X-6W</t>
  </si>
  <si>
    <t>49X-2W</t>
  </si>
  <si>
    <t>49X-4W</t>
  </si>
  <si>
    <t>49X-7W</t>
  </si>
  <si>
    <t>51X-1W</t>
  </si>
  <si>
    <t>51X-2W</t>
  </si>
  <si>
    <t>51X-4W</t>
  </si>
  <si>
    <t>52X-1W</t>
  </si>
  <si>
    <t>52X-4W</t>
  </si>
  <si>
    <t>52X-6W</t>
  </si>
  <si>
    <t>53X-2W</t>
  </si>
  <si>
    <t>53X-4W</t>
  </si>
  <si>
    <t>53X-7W</t>
  </si>
  <si>
    <t>54X-2W</t>
  </si>
  <si>
    <t>85-87 cm</t>
  </si>
  <si>
    <t>1172D</t>
  </si>
  <si>
    <t>5R-2W</t>
  </si>
  <si>
    <t>5R-4W</t>
  </si>
  <si>
    <t>109-111 cm</t>
  </si>
  <si>
    <t>6R-1W</t>
  </si>
  <si>
    <t>106.5-108.5 cm</t>
  </si>
  <si>
    <t>6R-2W</t>
  </si>
  <si>
    <t>114-116 cm</t>
  </si>
  <si>
    <t>6R-3W</t>
  </si>
  <si>
    <t>31-35 cm</t>
  </si>
  <si>
    <t>6R-4W</t>
  </si>
  <si>
    <t>135-137 cm</t>
  </si>
  <si>
    <t>7R-1W</t>
  </si>
  <si>
    <t>35-39 cm</t>
  </si>
  <si>
    <t>106-109 cm</t>
  </si>
  <si>
    <t>7R-3W</t>
  </si>
  <si>
    <t>7R-5W</t>
  </si>
  <si>
    <t>7R-6W</t>
  </si>
  <si>
    <t>8R-2W</t>
  </si>
  <si>
    <t>8R-3W</t>
  </si>
  <si>
    <t>115-117 cm</t>
  </si>
  <si>
    <t>8R-4W</t>
  </si>
  <si>
    <t>8R-5W</t>
  </si>
  <si>
    <t>104-106 cm</t>
  </si>
  <si>
    <t>8R-6W</t>
  </si>
  <si>
    <t>9R-1W</t>
  </si>
  <si>
    <t>105-107 cm</t>
  </si>
  <si>
    <t>9R-2W</t>
  </si>
  <si>
    <t>110-112 cm</t>
  </si>
  <si>
    <t>9R-3W</t>
  </si>
  <si>
    <t>112-114 cm</t>
  </si>
  <si>
    <t>9R-4W</t>
  </si>
  <si>
    <t>9R-6W</t>
  </si>
  <si>
    <t>60-62 cm</t>
  </si>
  <si>
    <t>9R-7W</t>
  </si>
  <si>
    <t>10R-1W</t>
  </si>
  <si>
    <t>113-116 cm</t>
  </si>
  <si>
    <t>10R-2W</t>
  </si>
  <si>
    <t>10R-3W</t>
  </si>
  <si>
    <t>10R-4W</t>
  </si>
  <si>
    <t>10R-5W</t>
  </si>
  <si>
    <t>10R-6W</t>
  </si>
  <si>
    <t>11R-1W</t>
  </si>
  <si>
    <t>11R-3W</t>
  </si>
  <si>
    <t>30-32 cm</t>
  </si>
  <si>
    <t>135-139 cm</t>
  </si>
  <si>
    <t>11R-4W</t>
  </si>
  <si>
    <t>11R-5W</t>
  </si>
  <si>
    <t>11R-6W</t>
  </si>
  <si>
    <t>104.5-106.5 cm</t>
  </si>
  <si>
    <t>12R-2W</t>
  </si>
  <si>
    <t>100-102 cm</t>
  </si>
  <si>
    <t>12R-3W</t>
  </si>
  <si>
    <t>12R-4W</t>
  </si>
  <si>
    <t>12R-5W</t>
  </si>
  <si>
    <t>12R-6W</t>
  </si>
  <si>
    <t>12R-7W</t>
  </si>
  <si>
    <t>65-67 cm</t>
  </si>
  <si>
    <t>13R-1W</t>
  </si>
  <si>
    <t>13R-2W</t>
  </si>
  <si>
    <t>90-92 cm</t>
  </si>
  <si>
    <t>13R-3W</t>
  </si>
  <si>
    <t>13R-4W</t>
  </si>
  <si>
    <t>13R-5W</t>
  </si>
  <si>
    <t>13R-6W</t>
  </si>
  <si>
    <t>13R-7W</t>
  </si>
  <si>
    <t>45-47 cm</t>
  </si>
  <si>
    <t>14R-1W</t>
  </si>
  <si>
    <t>14R-2W</t>
  </si>
  <si>
    <t>14R-4W</t>
  </si>
  <si>
    <t>14R-5W</t>
  </si>
  <si>
    <t>120-122 cm</t>
  </si>
  <si>
    <t>14R-6W</t>
  </si>
  <si>
    <t>47X</t>
  </si>
  <si>
    <t>5W</t>
  </si>
  <si>
    <t>48R</t>
  </si>
  <si>
    <t>3W</t>
  </si>
  <si>
    <t>48X</t>
  </si>
  <si>
    <t>6W</t>
  </si>
  <si>
    <t>49X</t>
  </si>
  <si>
    <t>2W</t>
  </si>
  <si>
    <t>4W</t>
  </si>
  <si>
    <t>7W</t>
  </si>
  <si>
    <t>51X</t>
  </si>
  <si>
    <t>1W</t>
  </si>
  <si>
    <t>52X</t>
  </si>
  <si>
    <t>53X</t>
  </si>
  <si>
    <t>54X</t>
  </si>
  <si>
    <t>5R</t>
  </si>
  <si>
    <t>6R</t>
  </si>
  <si>
    <t>7R</t>
  </si>
  <si>
    <t>8R</t>
  </si>
  <si>
    <t>9R</t>
  </si>
  <si>
    <t>10R</t>
  </si>
  <si>
    <t>11R</t>
  </si>
  <si>
    <t>12R</t>
  </si>
  <si>
    <t>13R</t>
  </si>
  <si>
    <t>14R</t>
  </si>
  <si>
    <t>Sample</t>
  </si>
  <si>
    <t>bGDGT-IIc</t>
  </si>
  <si>
    <t>bGDGT-Ib</t>
  </si>
  <si>
    <t>bGDGT-Ic</t>
  </si>
  <si>
    <t>MW144</t>
  </si>
  <si>
    <t>MW143</t>
  </si>
  <si>
    <t>MW139</t>
  </si>
  <si>
    <t>MW136</t>
  </si>
  <si>
    <t>MW135</t>
  </si>
  <si>
    <t>MW133</t>
  </si>
  <si>
    <t>MW130</t>
  </si>
  <si>
    <t>MW127</t>
  </si>
  <si>
    <t>MW124</t>
  </si>
  <si>
    <t>MS118</t>
  </si>
  <si>
    <t>MW115</t>
  </si>
  <si>
    <t>MW112</t>
  </si>
  <si>
    <t>MW106</t>
  </si>
  <si>
    <t>MW100</t>
  </si>
  <si>
    <t>MW97</t>
  </si>
  <si>
    <t>MW1</t>
  </si>
  <si>
    <t>MW7</t>
  </si>
  <si>
    <t>MW11</t>
  </si>
  <si>
    <t>MW49</t>
  </si>
  <si>
    <t>MW48</t>
  </si>
  <si>
    <t>MW46</t>
  </si>
  <si>
    <t>MW 45</t>
  </si>
  <si>
    <t>MW43</t>
  </si>
  <si>
    <t>MW42</t>
  </si>
  <si>
    <t>MW40</t>
  </si>
  <si>
    <t>MW39</t>
  </si>
  <si>
    <t>MW38</t>
  </si>
  <si>
    <t>MW37</t>
  </si>
  <si>
    <t>MW35</t>
  </si>
  <si>
    <t>MW34</t>
  </si>
  <si>
    <t>MW33</t>
  </si>
  <si>
    <t>MW31</t>
  </si>
  <si>
    <t>MW29</t>
  </si>
  <si>
    <t>MW52</t>
  </si>
  <si>
    <t>MW53</t>
  </si>
  <si>
    <t>MW56</t>
  </si>
  <si>
    <t>MW57</t>
  </si>
  <si>
    <t>MW58</t>
  </si>
  <si>
    <t>MW60</t>
  </si>
  <si>
    <t>MW62</t>
  </si>
  <si>
    <t>MW63</t>
  </si>
  <si>
    <t>Age GTS2012 (Myr)</t>
  </si>
  <si>
    <t>depth (m)</t>
  </si>
  <si>
    <t>bGDGT-IIIa</t>
  </si>
  <si>
    <t>bGDGT-Ia</t>
  </si>
  <si>
    <t>bGDGT-IIa</t>
  </si>
  <si>
    <t>bGDGT-IIb</t>
  </si>
  <si>
    <t>Label</t>
  </si>
  <si>
    <t>Depth [m]</t>
  </si>
  <si>
    <t>Early Eocene</t>
  </si>
  <si>
    <t>PS110852</t>
  </si>
  <si>
    <t>SB11</t>
  </si>
  <si>
    <t>PS090746</t>
  </si>
  <si>
    <t>CHC-5</t>
  </si>
  <si>
    <t>PS110853</t>
  </si>
  <si>
    <t>SB12</t>
  </si>
  <si>
    <t>PS105882</t>
  </si>
  <si>
    <t>SB8</t>
  </si>
  <si>
    <t>PS110854</t>
  </si>
  <si>
    <t>SB13</t>
  </si>
  <si>
    <t>PS105884</t>
  </si>
  <si>
    <t>SB10</t>
  </si>
  <si>
    <t>PS090745</t>
  </si>
  <si>
    <t>CHC-4</t>
  </si>
  <si>
    <t>PS103458</t>
  </si>
  <si>
    <t>SB1</t>
  </si>
  <si>
    <t>PS110855</t>
  </si>
  <si>
    <t>SB14</t>
  </si>
  <si>
    <t>PS103461</t>
  </si>
  <si>
    <t>SB4</t>
  </si>
  <si>
    <t>PS090743</t>
  </si>
  <si>
    <t>CHC-2</t>
  </si>
  <si>
    <t>PS103462</t>
  </si>
  <si>
    <t>SB5</t>
  </si>
  <si>
    <t>PS103463</t>
  </si>
  <si>
    <t>SB6</t>
  </si>
  <si>
    <t>PS090742</t>
  </si>
  <si>
    <t>CHC-1</t>
  </si>
  <si>
    <t>PS105883</t>
  </si>
  <si>
    <t>SB9</t>
  </si>
  <si>
    <t>PS105881</t>
  </si>
  <si>
    <t>SB7</t>
  </si>
  <si>
    <t>Depth</t>
  </si>
  <si>
    <t>PS090785</t>
  </si>
  <si>
    <t>CHC-15</t>
  </si>
  <si>
    <t>PS090784</t>
  </si>
  <si>
    <t>CHC-14</t>
  </si>
  <si>
    <t>PS090783</t>
  </si>
  <si>
    <t>CHC-13</t>
  </si>
  <si>
    <t>PS090782</t>
  </si>
  <si>
    <t>CHC-12</t>
  </si>
  <si>
    <t>PS090781</t>
  </si>
  <si>
    <t>CHC-11</t>
  </si>
  <si>
    <t>PS090751</t>
  </si>
  <si>
    <t>CHC-10</t>
  </si>
  <si>
    <t>PS090750</t>
  </si>
  <si>
    <t>CHC-9</t>
  </si>
  <si>
    <t>PS090749</t>
  </si>
  <si>
    <t>CHC-8</t>
  </si>
  <si>
    <t>PS090748</t>
  </si>
  <si>
    <t>CHC-7</t>
  </si>
  <si>
    <t>PS090747</t>
  </si>
  <si>
    <t>CHC-6</t>
  </si>
  <si>
    <t>Location</t>
  </si>
  <si>
    <t>Cobham Lignite (UK)</t>
  </si>
  <si>
    <t>CL39</t>
  </si>
  <si>
    <t>CL40</t>
  </si>
  <si>
    <t>CL46</t>
  </si>
  <si>
    <t>CL54</t>
  </si>
  <si>
    <t>CL80</t>
  </si>
  <si>
    <t>CL70</t>
  </si>
  <si>
    <t>CL64</t>
  </si>
  <si>
    <t>Pre-PETM</t>
  </si>
  <si>
    <t>Ia</t>
  </si>
  <si>
    <t>Iia</t>
  </si>
  <si>
    <t>Iia'</t>
  </si>
  <si>
    <t>Iib</t>
  </si>
  <si>
    <t>Iib'</t>
  </si>
  <si>
    <t>Iic</t>
  </si>
  <si>
    <t>Iic'</t>
  </si>
  <si>
    <t>IIIa</t>
  </si>
  <si>
    <t>IIIa'</t>
  </si>
  <si>
    <t>IIIb'</t>
  </si>
  <si>
    <t>IIIc'</t>
  </si>
  <si>
    <t>MBT5me'</t>
  </si>
  <si>
    <t>MAATpeat</t>
  </si>
  <si>
    <t>Schoeningen Lignite (Germany)</t>
  </si>
  <si>
    <t>XXXIII/4a</t>
  </si>
  <si>
    <t>XXXIII/4b</t>
  </si>
  <si>
    <t>XXXIII/5</t>
  </si>
  <si>
    <t>XXXIII/6</t>
  </si>
  <si>
    <t>XXXIII/7a</t>
  </si>
  <si>
    <t>XXXIII/7b</t>
  </si>
  <si>
    <t>Otaio Lignite (NZ)</t>
  </si>
  <si>
    <t>Formation (height in m)</t>
  </si>
  <si>
    <t>OGp13</t>
  </si>
  <si>
    <t>OGp12</t>
  </si>
  <si>
    <t>OGp32</t>
  </si>
  <si>
    <t>OGp11</t>
  </si>
  <si>
    <t>OGp31</t>
  </si>
  <si>
    <t>OGp30</t>
  </si>
  <si>
    <t>early Eocene directly after PETM</t>
  </si>
  <si>
    <t xml:space="preserve">Panandhro seam </t>
  </si>
  <si>
    <t xml:space="preserve">Khadsaliya Clays </t>
  </si>
  <si>
    <t>PS-1_bm</t>
  </si>
  <si>
    <t>PS-V-bm</t>
  </si>
  <si>
    <t>LBHS-1s</t>
  </si>
  <si>
    <t>UBHS-1m</t>
  </si>
  <si>
    <t>UBHS-10m</t>
  </si>
  <si>
    <t>KMUS-1m</t>
  </si>
  <si>
    <t>KMUS-8m</t>
  </si>
  <si>
    <t>MS-I-bm</t>
  </si>
  <si>
    <t>BARS-9m</t>
  </si>
  <si>
    <t xml:space="preserve">early to early middle Eocene </t>
  </si>
  <si>
    <t xml:space="preserve">Paleocene - Overlying Marh/Kolayat Fm is late Paleocene/early Eocene </t>
  </si>
  <si>
    <t>LAT/MAAT by proxy</t>
  </si>
  <si>
    <t>Source</t>
  </si>
  <si>
    <t>early Eocene (52-51 Ma)</t>
  </si>
  <si>
    <t>early Eocene (50-48 Ma)</t>
  </si>
  <si>
    <t>early Eocene (±49.4 Ma))</t>
  </si>
  <si>
    <t>early Eocene (±49.4 Ma)</t>
  </si>
  <si>
    <t>early Eocene  (53.2-50.7 Ma)</t>
  </si>
  <si>
    <t>early Eocene (52-50 Ma)</t>
  </si>
  <si>
    <t>early Eocene (52-52 Ma)</t>
  </si>
  <si>
    <t>early Eocene (55-52 Ma)</t>
  </si>
  <si>
    <t>early Eocene (54-50 Ma)</t>
  </si>
  <si>
    <t>early Eocene (53-50 Ma)</t>
  </si>
  <si>
    <t>early Eocene (~51.9 Ma)</t>
  </si>
  <si>
    <t>early Eocene (~51 Ma)</t>
  </si>
  <si>
    <t>early Eocene (~54-51 Ma)</t>
  </si>
  <si>
    <t>early Eocene (52–49 Ma)</t>
  </si>
  <si>
    <t>Greenwood et al. 2003, 2005; Huber and Caballero, 2011</t>
  </si>
  <si>
    <r>
      <t>MAT Peterse 2012 cal. (</t>
    </r>
    <r>
      <rPr>
        <b/>
        <sz val="12"/>
        <color theme="1"/>
        <rFont val="Calibri"/>
        <family val="2"/>
      </rPr>
      <t>°</t>
    </r>
    <r>
      <rPr>
        <b/>
        <sz val="12"/>
        <color theme="1"/>
        <rFont val="Calibri"/>
        <family val="2"/>
        <scheme val="minor"/>
      </rPr>
      <t>C)</t>
    </r>
  </si>
  <si>
    <r>
      <t>MAT Weijers 2007 cal. (</t>
    </r>
    <r>
      <rPr>
        <b/>
        <sz val="12"/>
        <color theme="1"/>
        <rFont val="Calibri"/>
        <family val="2"/>
      </rPr>
      <t>°</t>
    </r>
    <r>
      <rPr>
        <b/>
        <sz val="12"/>
        <color theme="1"/>
        <rFont val="Calibri"/>
        <family val="2"/>
        <scheme val="minor"/>
      </rPr>
      <t>C)</t>
    </r>
  </si>
  <si>
    <t>early Eocene (51.8 Ma)</t>
  </si>
  <si>
    <t>early Eocene (52.9 Ma)</t>
  </si>
  <si>
    <t>early Eocene (50.6 Ma)</t>
  </si>
  <si>
    <t>Princeton (One Mile Creek)</t>
  </si>
  <si>
    <t>Chu Chua BC</t>
  </si>
  <si>
    <t>Wing et al., 2005</t>
  </si>
  <si>
    <t>Excluded data spanning the PETM??</t>
  </si>
  <si>
    <t>Add Greenwood et al. 2016</t>
  </si>
  <si>
    <t>middle to late Eocene</t>
  </si>
  <si>
    <t>Chuckanut - Padden Member (BK)</t>
  </si>
  <si>
    <t>early Eocene (&lt;49.9 Ma)</t>
  </si>
  <si>
    <t>LMA (MAT 1)</t>
  </si>
  <si>
    <t>Wing &amp; Greenwood 1993 (southeast Asia)</t>
  </si>
  <si>
    <t>Breedlovestrout et al. 2013</t>
  </si>
  <si>
    <t>Wilf 1997</t>
  </si>
  <si>
    <t>LMA (MAT 2)</t>
  </si>
  <si>
    <t>Wilf 1997 (warm data set)</t>
  </si>
  <si>
    <t>LMA (MAT 3)</t>
  </si>
  <si>
    <t>Kowalski &amp; Dilcher 2003 (wet environments)</t>
  </si>
  <si>
    <t>LMA (MAT 4)</t>
  </si>
  <si>
    <t>Peppe et al. 2011</t>
  </si>
  <si>
    <t>CLAMP (Grid)</t>
  </si>
  <si>
    <t>Physg3brc, GRIDMet3brcAZ</t>
  </si>
  <si>
    <t>Spicer et al. 2009; Yang et al. 2011</t>
  </si>
  <si>
    <t>Chuckanut - Padden Member (WV)</t>
  </si>
  <si>
    <t>Manastash Formation - Manastash Main Body</t>
  </si>
  <si>
    <t>Chuckanut - Slide Member (MRCH)</t>
  </si>
  <si>
    <t>early Eocene (53.7 Ma)</t>
  </si>
  <si>
    <t>Chuckanut - Slide Member (Black Mt.)</t>
  </si>
  <si>
    <t>Chuckanut - Slide Member (Racehorse Creek)</t>
  </si>
  <si>
    <t>Chuckanut - Bellingham Bay Member (CLB)</t>
  </si>
  <si>
    <t>late Paleocene–early Eocene (57 Ma)</t>
  </si>
  <si>
    <t>LP-EE</t>
  </si>
  <si>
    <t>Manastash Formation - Taneum Ridge Body</t>
  </si>
  <si>
    <t>?late Paleocene/early Eocene</t>
  </si>
  <si>
    <t>Peppe et al. 2011; Breedlovestrout et al. 2013</t>
  </si>
  <si>
    <t>Average</t>
  </si>
  <si>
    <t>All average</t>
  </si>
  <si>
    <t>Chuckanut</t>
  </si>
  <si>
    <t>LAT is an average of several floral localities</t>
  </si>
  <si>
    <t>NLR-based</t>
  </si>
  <si>
    <t>Reference:</t>
    <phoneticPr fontId="24" type="noConversion"/>
  </si>
  <si>
    <t>Site:</t>
    <phoneticPr fontId="24" type="noConversion"/>
  </si>
  <si>
    <t>IODP U1356</t>
  </si>
  <si>
    <t>Modern latitude (decimal º):</t>
    <phoneticPr fontId="24" type="noConversion"/>
  </si>
  <si>
    <t>Modern longitude (decimal º):</t>
    <phoneticPr fontId="24" type="noConversion"/>
  </si>
  <si>
    <t>Paleodepth:</t>
    <phoneticPr fontId="24" type="noConversion"/>
  </si>
  <si>
    <t>Shelf</t>
  </si>
  <si>
    <t>Age model notes:</t>
    <phoneticPr fontId="24" type="noConversion"/>
  </si>
  <si>
    <t>Biostratigraphy &amp; pmag</t>
  </si>
  <si>
    <t>Timescale:</t>
    <phoneticPr fontId="24" type="noConversion"/>
  </si>
  <si>
    <t>GTS2012</t>
  </si>
  <si>
    <t>Depth scale:</t>
    <phoneticPr fontId="24" type="noConversion"/>
  </si>
  <si>
    <t>mbsf</t>
  </si>
  <si>
    <t>Pross et al. 2012 (needs to be updated to Dallanave et al. 2016)</t>
  </si>
  <si>
    <t>Age (Ma) [Bijl et al. 2013]</t>
  </si>
  <si>
    <t>Age (Ma) [Dallanave et al. 2016]</t>
  </si>
  <si>
    <t>EECO</t>
  </si>
  <si>
    <t>Paratropical rainforest biome</t>
  </si>
  <si>
    <t>Temperate rainforest biome</t>
  </si>
  <si>
    <t>Note: Ts not available for some taxa</t>
  </si>
  <si>
    <t>Mid-depth (mbsf)</t>
  </si>
  <si>
    <t>MAP                                                                          mid-value</t>
  </si>
  <si>
    <t>MAP                                                                                          mid-value                                                                                                                                                    (Total  ≥ 90, NLRs  ≥5)</t>
  </si>
  <si>
    <t>MAP                                                                                                 (range estimated)</t>
  </si>
  <si>
    <t>MAT                                                                           mid-value</t>
  </si>
  <si>
    <t>MAT                                                                                          mid-value                                                                                                                                                    (Total  ≥ 90, NLRs  ≥5)</t>
  </si>
  <si>
    <t>MAT                                                                                                 (range estimated)</t>
  </si>
  <si>
    <t>Tw                                                                         mid-value</t>
  </si>
  <si>
    <t>Tw                                                                                         mid-value                                                                                                                                                    (Total  ≥ 90, NLRs  ≥5)</t>
  </si>
  <si>
    <t>Tw                                                                                                 (range estimated)</t>
  </si>
  <si>
    <t>Ts                                                                                                                       mid-value</t>
  </si>
  <si>
    <t>Ts                                                                                        mid-value                                                                                                                                                    (Total  ≥ 90, NLRs  ≥5)</t>
  </si>
  <si>
    <t>Ts                                                                                                (range estimated)</t>
  </si>
  <si>
    <t>Coexistence Approach based on Mosbrugger and Utescher, 1997</t>
    <phoneticPr fontId="6"/>
  </si>
  <si>
    <r>
      <t>Note: Ts not available for some taxa</t>
    </r>
    <r>
      <rPr>
        <i/>
        <sz val="10"/>
        <rFont val="Verdana"/>
        <family val="2"/>
      </rPr>
      <t/>
    </r>
  </si>
  <si>
    <t>Reference:</t>
  </si>
  <si>
    <t>Pross et al. 2012</t>
  </si>
  <si>
    <t>Bioclimatic Analysis based on Greenwood et al., 2005</t>
  </si>
  <si>
    <t>MAP</t>
  </si>
  <si>
    <t>MAP                                                                       (Total  ≥ 90, NLRs  ≥ 5 )</t>
  </si>
  <si>
    <t>MAP error</t>
  </si>
  <si>
    <t xml:space="preserve">MAT </t>
  </si>
  <si>
    <t>MAT                                                                       (Total  ≥ 90, NLRs  ≥ 5)</t>
  </si>
  <si>
    <t>MAT error</t>
  </si>
  <si>
    <t>Tw</t>
  </si>
  <si>
    <t>Tw                                                                                                                                                                                                                                                                   (Total   ≥ 90, NL Rs  ≥ 5)</t>
  </si>
  <si>
    <t>Tw error</t>
  </si>
  <si>
    <t>Ts</t>
  </si>
  <si>
    <t>Ts                                                          (Total  ≥ 90, NLRs  ≥ 5)</t>
  </si>
  <si>
    <t>Ts error</t>
  </si>
  <si>
    <t>MAP                                                                       (Total  ≥ 90, NLRs  ≥ 5)</t>
  </si>
  <si>
    <t>MAT</t>
  </si>
  <si>
    <t>Ts                                                                                                                  (Total  ≥ 90, NLRs  ≥ 5)</t>
  </si>
  <si>
    <t>[error]</t>
  </si>
  <si>
    <t>Greenwood et al. 2005</t>
  </si>
  <si>
    <t>Mossbrugger and Utescher 1997</t>
  </si>
  <si>
    <t>na</t>
  </si>
  <si>
    <t>late Paleocene-early Eocene</t>
  </si>
  <si>
    <t>Marine record considered to be unreliable</t>
  </si>
  <si>
    <t>D47</t>
  </si>
  <si>
    <t>Ghosh et al. 2006</t>
  </si>
  <si>
    <t>Snell et al. 2013</t>
  </si>
  <si>
    <t>Authors consider LATs to be summer temperatures</t>
  </si>
  <si>
    <t>Tornilla Basin</t>
  </si>
  <si>
    <t>?</t>
  </si>
  <si>
    <t>late Paleocene - early Eocene</t>
  </si>
  <si>
    <t>Kelson et al. 2017</t>
  </si>
  <si>
    <t>Kelson et nd. 2017</t>
  </si>
  <si>
    <t>Kelson et al. 2018</t>
  </si>
  <si>
    <t>ODP Site 913</t>
  </si>
  <si>
    <t>Supplementary Data File 7: Proxies for Land Air Temperature (LAT)</t>
  </si>
  <si>
    <t>Tasman Sea</t>
  </si>
  <si>
    <t>Salta Basin, NW Argentina</t>
  </si>
  <si>
    <t>pre-PETM data only, marine record considered to be unreliable</t>
  </si>
  <si>
    <t>Li 1992; Poole et al. 2005</t>
  </si>
  <si>
    <t>Pollen</t>
  </si>
  <si>
    <t>Leaf</t>
  </si>
  <si>
    <t>d18O</t>
  </si>
  <si>
    <t>Fur (Denmark)</t>
  </si>
  <si>
    <t>Store Baelt (Denmark)</t>
  </si>
  <si>
    <t>Count</t>
  </si>
  <si>
    <t>Min</t>
  </si>
  <si>
    <t>Max</t>
  </si>
  <si>
    <t>Depth (cm)</t>
  </si>
  <si>
    <t>Note on age: Samples are from Seam 1 in the  Schöningen Südfeld Mine, which is dated at early but not earliest Eocene (dinoflagellate zone D5nb) according to Riegel et al., 2012</t>
  </si>
  <si>
    <t>early Eocene?</t>
  </si>
  <si>
    <t>Mean-SD</t>
  </si>
  <si>
    <t>Mean+SD</t>
  </si>
  <si>
    <t>EECO?</t>
  </si>
  <si>
    <t>Peterse et al.</t>
  </si>
  <si>
    <t>Climatic Amplitude</t>
  </si>
  <si>
    <t>MBTCBT</t>
  </si>
  <si>
    <t>GDGTLig</t>
  </si>
  <si>
    <t>early Eocene (53-49 Ma)</t>
  </si>
  <si>
    <t>Barsingsar/Kasnau Matasukh</t>
  </si>
  <si>
    <t>middle Eocene (48-40 Ma)</t>
  </si>
  <si>
    <t>ME</t>
  </si>
  <si>
    <t>Uncertainty about  age, but assumed to be post-EECO</t>
  </si>
  <si>
    <t>(-) Error</t>
  </si>
  <si>
    <t>(+)Error</t>
  </si>
  <si>
    <t>(-) SD*</t>
  </si>
  <si>
    <t>(+) SD*</t>
  </si>
  <si>
    <t xml:space="preserve">Notes for this table: This table includes locality information and estimates for LAT. Localities are sorted by paleolatitude and each time slice and each proxy are listed on a separate row. Where new methods or calibrations are applied, locality data sets are provided in following work sheets. Where data series are available (yellow highlight), LAT estimates include mean, minimum, maximum, mean +/- SD values. Where data series are not available, the SD values are replaced by reported error. </t>
  </si>
  <si>
    <t>Angiosperm leaf length</t>
  </si>
  <si>
    <t>CA-Leaves</t>
  </si>
  <si>
    <t>MBT-CBT analyses</t>
  </si>
  <si>
    <t>Core sample</t>
  </si>
  <si>
    <t>Area</t>
  </si>
  <si>
    <t>sample</t>
  </si>
  <si>
    <t>mbs</t>
  </si>
  <si>
    <t>m/z 1292</t>
  </si>
  <si>
    <t>m/z 1050</t>
  </si>
  <si>
    <t>m/z 1048</t>
  </si>
  <si>
    <t>m/z 1046</t>
  </si>
  <si>
    <t>m/z 1036</t>
  </si>
  <si>
    <t>m/z 1034</t>
  </si>
  <si>
    <t>m/z 1032</t>
  </si>
  <si>
    <t>m/z 1022</t>
  </si>
  <si>
    <t>m/z 1020</t>
  </si>
  <si>
    <t>m/z 1018</t>
  </si>
  <si>
    <t>BIT</t>
  </si>
  <si>
    <t>pH</t>
  </si>
  <si>
    <t>MAT (Weijers et al., 2007)</t>
  </si>
  <si>
    <t>MAT (Peterse et al., 2012)</t>
  </si>
  <si>
    <t>HC 100</t>
  </si>
  <si>
    <t>HC 082</t>
  </si>
  <si>
    <t>HC 080</t>
  </si>
  <si>
    <t>HC 076</t>
  </si>
  <si>
    <t>HC 068</t>
  </si>
  <si>
    <t>HC 060</t>
  </si>
  <si>
    <t>HC 058</t>
  </si>
  <si>
    <t>HC 056</t>
  </si>
  <si>
    <t>HC 053</t>
  </si>
  <si>
    <t>HC 048</t>
  </si>
  <si>
    <t>HC 044</t>
  </si>
  <si>
    <t>HC 040</t>
  </si>
  <si>
    <t>HC 036</t>
  </si>
  <si>
    <t>HC 034</t>
  </si>
  <si>
    <t>HC 032</t>
  </si>
  <si>
    <t>HC 030</t>
  </si>
  <si>
    <t>HC 029</t>
  </si>
  <si>
    <t>HC 028</t>
  </si>
  <si>
    <t>HC 026</t>
  </si>
  <si>
    <t>HC 024</t>
  </si>
  <si>
    <t>HC 022</t>
  </si>
  <si>
    <t>HC 020</t>
  </si>
  <si>
    <t>HC 018</t>
  </si>
  <si>
    <t>HC 016</t>
  </si>
  <si>
    <t>HC 013</t>
  </si>
  <si>
    <t>HC 010</t>
  </si>
  <si>
    <t>HC 007</t>
  </si>
  <si>
    <t>HC 001</t>
  </si>
  <si>
    <t>Lower Eoc</t>
  </si>
  <si>
    <t>26.61</t>
  </si>
  <si>
    <t>21.36</t>
  </si>
  <si>
    <t>25.26</t>
  </si>
  <si>
    <t>25.78</t>
  </si>
  <si>
    <t>27.43</t>
  </si>
  <si>
    <t>27.89</t>
  </si>
  <si>
    <t>20.57</t>
  </si>
  <si>
    <t>20.87</t>
  </si>
  <si>
    <t>21.85</t>
  </si>
  <si>
    <t>22.29</t>
  </si>
  <si>
    <t>middle Eocene (47.4-48.3 Ma)</t>
  </si>
  <si>
    <t>Hyland et al. 2018</t>
  </si>
  <si>
    <t>Paleosol d18O</t>
  </si>
  <si>
    <t>Continental</t>
  </si>
  <si>
    <t>early Eocene (~48 Myr)</t>
  </si>
  <si>
    <r>
      <rPr>
        <i/>
        <sz val="10"/>
        <color theme="1"/>
        <rFont val="Calibri"/>
        <family val="2"/>
        <scheme val="minor"/>
      </rPr>
      <t>Podocarp</t>
    </r>
    <r>
      <rPr>
        <sz val="10"/>
        <color theme="1"/>
        <rFont val="Calibri"/>
        <family val="2"/>
        <scheme val="minor"/>
      </rPr>
      <t xml:space="preserve"> leaf size</t>
    </r>
  </si>
  <si>
    <t>IODP Site M004</t>
  </si>
  <si>
    <t>IODP Leg 302 (ACEX)</t>
  </si>
  <si>
    <t>Republic (Boot Hill)</t>
  </si>
  <si>
    <t>Republic (Knob Hill WA)</t>
  </si>
  <si>
    <t>Bighorn Basin (Polecat Bench)</t>
  </si>
  <si>
    <t>Bighorn Basin (Hubble Bubble)</t>
  </si>
  <si>
    <t>Bighorn Basin (Cabin Fork)</t>
  </si>
  <si>
    <t>Lowana Road</t>
  </si>
  <si>
    <t>Tasmania, Australia</t>
  </si>
  <si>
    <t>Samples</t>
  </si>
  <si>
    <t>Total</t>
  </si>
  <si>
    <t>LP Total</t>
  </si>
  <si>
    <t>PETM Total</t>
  </si>
  <si>
    <t>EECO Total</t>
  </si>
  <si>
    <t>GS114</t>
  </si>
  <si>
    <t>GS115</t>
  </si>
  <si>
    <t>GS116</t>
  </si>
  <si>
    <t>GS117</t>
  </si>
  <si>
    <t>GS118</t>
  </si>
  <si>
    <t>GS119</t>
  </si>
  <si>
    <t>GS120</t>
  </si>
  <si>
    <t>GS121</t>
  </si>
  <si>
    <t>GS122</t>
  </si>
  <si>
    <t>GS123</t>
  </si>
  <si>
    <t>GS124</t>
  </si>
  <si>
    <t>GS125</t>
  </si>
  <si>
    <t>GS126</t>
  </si>
  <si>
    <t>GS127</t>
  </si>
  <si>
    <t>GS128</t>
  </si>
  <si>
    <t>GS129</t>
  </si>
  <si>
    <t>GS130</t>
  </si>
  <si>
    <t>GS131</t>
  </si>
  <si>
    <t>GS132</t>
  </si>
  <si>
    <t>GS133</t>
  </si>
  <si>
    <t>GS134</t>
  </si>
  <si>
    <t>GS135</t>
  </si>
  <si>
    <t>GS136</t>
  </si>
  <si>
    <t>GS137</t>
  </si>
  <si>
    <t>GS07</t>
  </si>
  <si>
    <t>GS08</t>
  </si>
  <si>
    <t>GS09</t>
  </si>
  <si>
    <t>GS10</t>
  </si>
  <si>
    <t>GS11</t>
  </si>
  <si>
    <t>GS12</t>
  </si>
  <si>
    <t>GS13</t>
  </si>
  <si>
    <t>GS14</t>
  </si>
  <si>
    <t>GS15</t>
  </si>
  <si>
    <t>GS16</t>
  </si>
  <si>
    <t>GS17</t>
  </si>
  <si>
    <t>GS18</t>
  </si>
  <si>
    <t>GS19</t>
  </si>
  <si>
    <t>GS20</t>
  </si>
  <si>
    <t>Faddeevsky</t>
  </si>
  <si>
    <t>Faddeevsky &amp; Belkovsky Islands, Russia</t>
  </si>
  <si>
    <t>Height (m)</t>
  </si>
  <si>
    <t>Annual T</t>
  </si>
  <si>
    <t>min</t>
  </si>
  <si>
    <t>mean</t>
  </si>
  <si>
    <t>max</t>
  </si>
  <si>
    <t>Coldest Month</t>
  </si>
  <si>
    <t>Warmest Month</t>
  </si>
  <si>
    <t>Precipitation</t>
  </si>
  <si>
    <t>Belkovsky</t>
  </si>
  <si>
    <t>~48 Ma</t>
  </si>
  <si>
    <t>Time-slice</t>
  </si>
  <si>
    <t>56-54 Ma</t>
  </si>
  <si>
    <t>ETM2</t>
  </si>
  <si>
    <t>depth (m.b.s.f)</t>
  </si>
  <si>
    <t>Age (Myr)</t>
  </si>
  <si>
    <t>No. taxa</t>
  </si>
  <si>
    <t>NLRs</t>
  </si>
  <si>
    <t>MAT where NLR 12 or more</t>
  </si>
  <si>
    <t>CMMT</t>
  </si>
  <si>
    <t>CMMT where NLR 12 or more</t>
  </si>
  <si>
    <t>CMMT error</t>
  </si>
  <si>
    <t>WMMT</t>
  </si>
  <si>
    <t>WMMT where NLR 12 or more</t>
  </si>
  <si>
    <t>WMMT error</t>
  </si>
  <si>
    <t>MAP where NLR 12 or more</t>
  </si>
  <si>
    <t>Sheldon et al., 2002</t>
  </si>
  <si>
    <t>PWI</t>
  </si>
  <si>
    <t>SAL</t>
  </si>
  <si>
    <t>CBM-P16-B</t>
  </si>
  <si>
    <t>CBMG-P1-B</t>
  </si>
  <si>
    <t>CBMG-P1-A</t>
  </si>
  <si>
    <t>CBMG-P2-B</t>
  </si>
  <si>
    <t>CBMG-P2-A</t>
  </si>
  <si>
    <t>CBMG-P3-C</t>
  </si>
  <si>
    <t>CBMG-P3-B</t>
  </si>
  <si>
    <t>CBMG-P3-A</t>
  </si>
  <si>
    <t>CBMG-P5-B</t>
  </si>
  <si>
    <t>CBMG-P5-A</t>
  </si>
  <si>
    <t>CBMG-P7-B</t>
  </si>
  <si>
    <t>CBMG-P7-A</t>
  </si>
  <si>
    <t>CBMG-P10-C</t>
  </si>
  <si>
    <t>CBMG-P10-B</t>
  </si>
  <si>
    <t>CBMG-P10-A</t>
  </si>
  <si>
    <t>CBMG-P11-C</t>
  </si>
  <si>
    <t>CBMG-P11-B</t>
  </si>
  <si>
    <t>CBMG-P11-A</t>
  </si>
  <si>
    <t>CBMG-P12-B</t>
  </si>
  <si>
    <t>CBMG-P12-A</t>
  </si>
  <si>
    <t>CIA-K</t>
  </si>
  <si>
    <t>PWI-LAT</t>
  </si>
  <si>
    <t>SAL-LAT</t>
  </si>
  <si>
    <t>CIA-K = Al/(Al+Ca+Na) x 100</t>
  </si>
  <si>
    <t>SAL = (K+Na)/Al</t>
  </si>
  <si>
    <t>PWI = (4.2 x Na + 1.66 x Mg + 5.54 x K + 2.05 x Ca) x 100</t>
  </si>
  <si>
    <t>&gt;50 Ma</t>
  </si>
  <si>
    <t>&lt; 53 Ma</t>
  </si>
  <si>
    <t>EECO Mean</t>
  </si>
  <si>
    <t>Maiz Gordo Fm, Salta Basin, Argentina</t>
  </si>
  <si>
    <t>Gallagher and Sheldon, 2013</t>
  </si>
  <si>
    <t>SAL is not a reliable proxy for absolute LAT; best used as a relative LAT guide (Sheldon, 2009)</t>
  </si>
  <si>
    <t>PWI climofunction, probably best used as a relatibe temperature guide as with SAL</t>
  </si>
  <si>
    <t>Mosbrugger and Utescher, 1997</t>
  </si>
  <si>
    <t>Paleosol PWI</t>
  </si>
  <si>
    <t>Paleosol SAL</t>
  </si>
  <si>
    <t>Mod-High</t>
  </si>
  <si>
    <t>Low</t>
  </si>
  <si>
    <t>Confidence</t>
  </si>
  <si>
    <t>All</t>
  </si>
  <si>
    <t>brGDGTs (MBT-CBT, MBT'm5e)</t>
  </si>
  <si>
    <t>Leaf Margin Analysis</t>
  </si>
  <si>
    <t>Other Leaf-based proxies</t>
  </si>
  <si>
    <t>Nearest Living Relative</t>
  </si>
  <si>
    <t>Mammal/Paleosol δ18O</t>
  </si>
  <si>
    <t>Clumped isotopes (∆47)</t>
  </si>
  <si>
    <t>Paleosol Climofunction</t>
  </si>
  <si>
    <t>SUMMARY</t>
  </si>
  <si>
    <t>M-H C</t>
  </si>
  <si>
    <t>L C</t>
  </si>
  <si>
    <t>Clumped</t>
  </si>
  <si>
    <t>Paleosol/Mammal</t>
  </si>
  <si>
    <t>MBT-CBT</t>
  </si>
  <si>
    <t xml:space="preserve">MBT-CBT </t>
  </si>
  <si>
    <t>ACEX</t>
  </si>
  <si>
    <t>Harrell</t>
  </si>
  <si>
    <t>mid-waipara</t>
  </si>
  <si>
    <t>FR.TETR</t>
  </si>
  <si>
    <t>FR.PEN</t>
  </si>
  <si>
    <t>FR.HEX</t>
  </si>
  <si>
    <t>SUMBR</t>
  </si>
  <si>
    <t>NoRINGStetra</t>
  </si>
  <si>
    <t>NoRINGSpenta5</t>
  </si>
  <si>
    <t>NoRINGSpenta</t>
  </si>
  <si>
    <t>type</t>
  </si>
  <si>
    <t>shelf sediment</t>
  </si>
  <si>
    <t>substrate</t>
  </si>
  <si>
    <t>Paleogene</t>
  </si>
  <si>
    <t>Lignite</t>
  </si>
  <si>
    <t>IIIa-tot</t>
  </si>
  <si>
    <t>IIIb-tot</t>
  </si>
  <si>
    <t>Iia-tot</t>
  </si>
  <si>
    <t>Iib-tot</t>
  </si>
  <si>
    <t>Iic-tot</t>
  </si>
  <si>
    <t>IIIc-tot</t>
  </si>
  <si>
    <t>NoRINGSpenta6</t>
  </si>
  <si>
    <t>Schoeningen</t>
  </si>
  <si>
    <t>Cobham</t>
  </si>
  <si>
    <t>Otaio</t>
  </si>
  <si>
    <t>IRpenta</t>
  </si>
  <si>
    <t>IRhexa</t>
  </si>
  <si>
    <t>location</t>
  </si>
  <si>
    <t>IODP</t>
  </si>
  <si>
    <t>hole</t>
  </si>
  <si>
    <t>core</t>
  </si>
  <si>
    <t>section</t>
  </si>
  <si>
    <t>half</t>
  </si>
  <si>
    <t>top</t>
  </si>
  <si>
    <t>bottom</t>
  </si>
  <si>
    <t>depth_mbsf</t>
  </si>
  <si>
    <t>depth_mcd</t>
  </si>
  <si>
    <t>brGDGT-IIIa'</t>
  </si>
  <si>
    <t>brGDGT-IIIb'</t>
  </si>
  <si>
    <t>brGDGT-IIIc'</t>
  </si>
  <si>
    <t>brGDGT-IIa'</t>
  </si>
  <si>
    <t>brGDGT-IIb'</t>
  </si>
  <si>
    <t>brGDGT-IIc'</t>
  </si>
  <si>
    <t>MATmr</t>
  </si>
  <si>
    <t>4A</t>
  </si>
  <si>
    <t>x</t>
  </si>
  <si>
    <t>w</t>
  </si>
  <si>
    <t>Sample nr / Casing #</t>
  </si>
  <si>
    <t>Height(m)</t>
  </si>
  <si>
    <t>IIa'</t>
  </si>
  <si>
    <t>PP4</t>
  </si>
  <si>
    <t>PP12</t>
  </si>
  <si>
    <t>PP20</t>
  </si>
  <si>
    <t>PP25</t>
  </si>
  <si>
    <t>PP35</t>
  </si>
  <si>
    <t>PP40</t>
  </si>
  <si>
    <t>PP45</t>
  </si>
  <si>
    <t>PP50</t>
  </si>
  <si>
    <t>PP76</t>
  </si>
  <si>
    <t>PP101</t>
  </si>
  <si>
    <t>PP111</t>
  </si>
  <si>
    <t>PP121</t>
  </si>
  <si>
    <t>PP131</t>
  </si>
  <si>
    <t>PP141</t>
  </si>
  <si>
    <t>PP150</t>
  </si>
  <si>
    <t>PP166</t>
  </si>
  <si>
    <t>PP181</t>
  </si>
  <si>
    <t>PP197</t>
  </si>
  <si>
    <t>PP223</t>
  </si>
  <si>
    <t>PP237</t>
  </si>
  <si>
    <t>PP249</t>
  </si>
  <si>
    <t>PP252</t>
  </si>
  <si>
    <t>PP258</t>
  </si>
  <si>
    <t>PP260</t>
  </si>
  <si>
    <t>PP262</t>
  </si>
  <si>
    <t>PP279</t>
  </si>
  <si>
    <t>PP285</t>
  </si>
  <si>
    <t>PP289</t>
  </si>
  <si>
    <t>PP295</t>
  </si>
  <si>
    <t>PP299</t>
  </si>
  <si>
    <t>PP305</t>
  </si>
  <si>
    <t>PP309</t>
  </si>
  <si>
    <t>PP315</t>
  </si>
  <si>
    <t>PP319</t>
  </si>
  <si>
    <t>PP323</t>
  </si>
  <si>
    <t>PP327</t>
  </si>
  <si>
    <t>PP331</t>
  </si>
  <si>
    <t>PP341</t>
  </si>
  <si>
    <t>IIa</t>
  </si>
  <si>
    <t>sum</t>
  </si>
  <si>
    <t>Otway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</si>
</sst>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50" x14ac:knownFonts="1">
    <font>
      <sz val="11"/>
      <color theme="1"/>
      <name val="Calibri"/>
      <family val="2"/>
      <scheme val="minor"/>
    </font>
    <font>
      <u/>
      <sz val="11"/>
      <color theme="10"/>
      <name val="Calibri"/>
      <family val="2"/>
      <scheme val="minor"/>
    </font>
    <font>
      <b/>
      <sz val="12"/>
      <color theme="1"/>
      <name val="Calibri"/>
      <family val="2"/>
      <scheme val="minor"/>
    </font>
    <font>
      <sz val="12"/>
      <name val="Calibri"/>
      <family val="2"/>
      <scheme val="minor"/>
    </font>
    <font>
      <sz val="11"/>
      <name val="Calibri"/>
      <family val="2"/>
      <scheme val="minor"/>
    </font>
    <font>
      <b/>
      <sz val="12"/>
      <name val="Calibri"/>
      <family val="2"/>
      <scheme val="minor"/>
    </font>
    <font>
      <i/>
      <sz val="11"/>
      <name val="Calibri"/>
      <family val="2"/>
      <scheme val="minor"/>
    </font>
    <font>
      <b/>
      <sz val="11"/>
      <name val="Calibri"/>
      <family val="2"/>
    </font>
    <font>
      <b/>
      <sz val="9"/>
      <color indexed="81"/>
      <name val="Tahoma"/>
      <family val="2"/>
    </font>
    <font>
      <sz val="9"/>
      <color indexed="81"/>
      <name val="Tahoma"/>
      <family val="2"/>
    </font>
    <font>
      <b/>
      <sz val="11"/>
      <color theme="1"/>
      <name val="Calibri"/>
      <family val="2"/>
      <scheme val="minor"/>
    </font>
    <font>
      <b/>
      <sz val="11"/>
      <name val="Calibri"/>
      <family val="2"/>
      <scheme val="minor"/>
    </font>
    <font>
      <sz val="11"/>
      <color indexed="8"/>
      <name val="Calibri"/>
      <family val="2"/>
      <scheme val="minor"/>
    </font>
    <font>
      <sz val="10"/>
      <name val="Verdana"/>
      <family val="2"/>
    </font>
    <font>
      <sz val="10"/>
      <name val="Arial"/>
      <family val="2"/>
    </font>
    <font>
      <b/>
      <sz val="10"/>
      <name val="Arial"/>
      <family val="2"/>
    </font>
    <font>
      <sz val="11"/>
      <name val="Calibri"/>
      <family val="2"/>
    </font>
    <font>
      <b/>
      <sz val="11"/>
      <color indexed="8"/>
      <name val="Calibri"/>
      <family val="2"/>
      <scheme val="minor"/>
    </font>
    <font>
      <b/>
      <sz val="10"/>
      <name val="Verdana"/>
      <family val="2"/>
    </font>
    <font>
      <b/>
      <sz val="16"/>
      <color theme="1"/>
      <name val="Calibri"/>
      <family val="2"/>
      <scheme val="minor"/>
    </font>
    <font>
      <sz val="10"/>
      <name val="Geneva"/>
      <family val="2"/>
    </font>
    <font>
      <sz val="11"/>
      <name val="Arial"/>
      <family val="2"/>
    </font>
    <font>
      <sz val="12"/>
      <color theme="1"/>
      <name val="Calibri"/>
      <family val="2"/>
      <charset val="134"/>
      <scheme val="minor"/>
    </font>
    <font>
      <b/>
      <sz val="12"/>
      <color theme="1"/>
      <name val="Calibri"/>
      <family val="2"/>
    </font>
    <font>
      <b/>
      <sz val="11"/>
      <color rgb="FFFF0000"/>
      <name val="Calibri"/>
      <family val="2"/>
      <scheme val="minor"/>
    </font>
    <font>
      <sz val="11"/>
      <color indexed="8"/>
      <name val="Calibri"/>
      <family val="2"/>
    </font>
    <font>
      <b/>
      <sz val="9"/>
      <color indexed="81"/>
      <name val="Calibri"/>
      <family val="2"/>
    </font>
    <font>
      <sz val="9"/>
      <color indexed="81"/>
      <name val="Calibri"/>
      <family val="2"/>
    </font>
    <font>
      <i/>
      <sz val="10"/>
      <name val="Verdana"/>
      <family val="2"/>
    </font>
    <font>
      <sz val="12"/>
      <color theme="1"/>
      <name val="Calibri"/>
      <family val="2"/>
      <scheme val="minor"/>
    </font>
    <font>
      <sz val="10"/>
      <color theme="1"/>
      <name val="Calibri"/>
      <family val="2"/>
      <scheme val="minor"/>
    </font>
    <font>
      <sz val="10"/>
      <name val="Calibri"/>
      <family val="2"/>
      <scheme val="minor"/>
    </font>
    <font>
      <b/>
      <sz val="10"/>
      <name val="Calibri"/>
      <family val="2"/>
      <scheme val="minor"/>
    </font>
    <font>
      <sz val="10"/>
      <color indexed="8"/>
      <name val="Calibri"/>
      <family val="2"/>
    </font>
    <font>
      <b/>
      <sz val="10"/>
      <color theme="1"/>
      <name val="Calibri"/>
      <family val="2"/>
      <scheme val="minor"/>
    </font>
    <font>
      <sz val="11"/>
      <color theme="1"/>
      <name val="Calibri"/>
      <family val="2"/>
      <scheme val="minor"/>
    </font>
    <font>
      <sz val="10"/>
      <name val="Verdana"/>
      <family val="2"/>
    </font>
    <font>
      <sz val="10"/>
      <name val="Arial"/>
      <family val="2"/>
    </font>
    <font>
      <b/>
      <sz val="10"/>
      <name val="Helvetica"/>
      <family val="2"/>
    </font>
    <font>
      <sz val="10"/>
      <name val="Helvetica"/>
      <family val="2"/>
    </font>
    <font>
      <sz val="10"/>
      <color indexed="10"/>
      <name val="Helvetica"/>
      <family val="2"/>
    </font>
    <font>
      <b/>
      <sz val="10"/>
      <name val="Calibri"/>
      <family val="2"/>
    </font>
    <font>
      <b/>
      <sz val="10"/>
      <color theme="1"/>
      <name val="Calibri"/>
      <family val="2"/>
    </font>
    <font>
      <u/>
      <sz val="10"/>
      <color theme="1"/>
      <name val="Calibri"/>
      <family val="2"/>
      <scheme val="minor"/>
    </font>
    <font>
      <u/>
      <sz val="10"/>
      <color theme="10"/>
      <name val="Calibri"/>
      <family val="2"/>
      <scheme val="minor"/>
    </font>
    <font>
      <sz val="10"/>
      <color rgb="FFFF0000"/>
      <name val="Calibri"/>
      <family val="2"/>
      <scheme val="minor"/>
    </font>
    <font>
      <i/>
      <sz val="10"/>
      <color theme="1"/>
      <name val="Calibri"/>
      <family val="2"/>
      <scheme val="minor"/>
    </font>
    <font>
      <u/>
      <sz val="10"/>
      <name val="Calibri"/>
      <family val="2"/>
      <scheme val="minor"/>
    </font>
    <font>
      <u/>
      <sz val="11"/>
      <color theme="11"/>
      <name val="Calibri"/>
      <family val="2"/>
      <scheme val="minor"/>
    </font>
    <font>
      <sz val="10"/>
      <color theme="1"/>
      <name val="Courier"/>
      <family val="1"/>
    </font>
  </fonts>
  <fills count="15">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7"/>
        <bgColor indexed="64"/>
      </patternFill>
    </fill>
    <fill>
      <patternFill patternType="solid">
        <fgColor theme="9" tint="0.59999389629810485"/>
        <bgColor indexed="64"/>
      </patternFill>
    </fill>
    <fill>
      <patternFill patternType="solid">
        <fgColor rgb="FFFF0000"/>
        <bgColor indexed="64"/>
      </patternFill>
    </fill>
    <fill>
      <patternFill patternType="solid">
        <fgColor theme="0" tint="-0.499984740745262"/>
        <bgColor indexed="64"/>
      </patternFill>
    </fill>
  </fills>
  <borders count="40">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thick">
        <color auto="1"/>
      </left>
      <right/>
      <top/>
      <bottom/>
      <diagonal/>
    </border>
    <border>
      <left style="thick">
        <color auto="1"/>
      </left>
      <right/>
      <top/>
      <bottom style="medium">
        <color auto="1"/>
      </bottom>
      <diagonal/>
    </border>
    <border>
      <left style="thick">
        <color auto="1"/>
      </left>
      <right/>
      <top style="medium">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thin">
        <color auto="1"/>
      </bottom>
      <diagonal/>
    </border>
    <border>
      <left style="medium">
        <color auto="1"/>
      </left>
      <right/>
      <top/>
      <bottom style="thin">
        <color auto="1"/>
      </bottom>
      <diagonal/>
    </border>
    <border>
      <left/>
      <right style="medium">
        <color auto="1"/>
      </right>
      <top/>
      <bottom style="thin">
        <color auto="1"/>
      </bottom>
      <diagonal/>
    </border>
    <border>
      <left/>
      <right/>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right/>
      <top style="thin">
        <color auto="1"/>
      </top>
      <bottom style="thin">
        <color auto="1"/>
      </bottom>
      <diagonal/>
    </border>
    <border>
      <left style="medium">
        <color auto="1"/>
      </left>
      <right style="thick">
        <color auto="1"/>
      </right>
      <top style="medium">
        <color auto="1"/>
      </top>
      <bottom style="medium">
        <color auto="1"/>
      </bottom>
      <diagonal/>
    </border>
    <border>
      <left style="thick">
        <color auto="1"/>
      </left>
      <right style="thick">
        <color auto="1"/>
      </right>
      <top style="medium">
        <color auto="1"/>
      </top>
      <bottom style="medium">
        <color auto="1"/>
      </bottom>
      <diagonal/>
    </border>
    <border>
      <left style="thick">
        <color auto="1"/>
      </left>
      <right style="medium">
        <color auto="1"/>
      </right>
      <top style="medium">
        <color auto="1"/>
      </top>
      <bottom style="medium">
        <color auto="1"/>
      </bottom>
      <diagonal/>
    </border>
    <border>
      <left style="medium">
        <color auto="1"/>
      </left>
      <right/>
      <top style="thin">
        <color auto="1"/>
      </top>
      <bottom style="medium">
        <color auto="1"/>
      </bottom>
      <diagonal/>
    </border>
  </borders>
  <cellStyleXfs count="37">
    <xf numFmtId="0" fontId="0" fillId="0" borderId="0"/>
    <xf numFmtId="0" fontId="1" fillId="0" borderId="0" applyNumberFormat="0" applyFill="0" applyBorder="0" applyAlignment="0" applyProtection="0"/>
    <xf numFmtId="0" fontId="12" fillId="0" borderId="0"/>
    <xf numFmtId="0" fontId="12" fillId="0" borderId="0"/>
    <xf numFmtId="0" fontId="13" fillId="0" borderId="0"/>
    <xf numFmtId="0" fontId="22" fillId="0" borderId="0"/>
    <xf numFmtId="0" fontId="13" fillId="0" borderId="0"/>
    <xf numFmtId="0" fontId="14" fillId="0" borderId="0"/>
    <xf numFmtId="0" fontId="36" fillId="0" borderId="0"/>
    <xf numFmtId="0" fontId="37" fillId="0" borderId="0"/>
    <xf numFmtId="0" fontId="35" fillId="0" borderId="0"/>
    <xf numFmtId="0" fontId="14" fillId="0" borderId="15"/>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cellStyleXfs>
  <cellXfs count="656">
    <xf numFmtId="0" fontId="0" fillId="0" borderId="0" xfId="0"/>
    <xf numFmtId="0" fontId="0" fillId="0" borderId="0" xfId="0" applyFont="1" applyFill="1"/>
    <xf numFmtId="164" fontId="0" fillId="0" borderId="0" xfId="0" applyNumberFormat="1" applyFont="1" applyFill="1" applyAlignment="1">
      <alignment horizontal="center"/>
    </xf>
    <xf numFmtId="0" fontId="0" fillId="0" borderId="0" xfId="0" applyAlignment="1">
      <alignment horizontal="center"/>
    </xf>
    <xf numFmtId="0" fontId="0" fillId="0" borderId="0" xfId="0" applyFill="1"/>
    <xf numFmtId="0" fontId="4" fillId="0" borderId="0" xfId="0" applyFont="1"/>
    <xf numFmtId="0" fontId="0" fillId="0" borderId="0" xfId="0" applyFill="1" applyAlignment="1">
      <alignment horizontal="center"/>
    </xf>
    <xf numFmtId="0" fontId="2" fillId="0" borderId="1" xfId="0" applyFont="1" applyFill="1" applyBorder="1"/>
    <xf numFmtId="0" fontId="5" fillId="0" borderId="2" xfId="0" applyFont="1" applyFill="1" applyBorder="1"/>
    <xf numFmtId="0" fontId="2" fillId="0" borderId="2" xfId="0" applyFont="1" applyFill="1" applyBorder="1" applyAlignment="1">
      <alignment horizontal="center"/>
    </xf>
    <xf numFmtId="0" fontId="2" fillId="0" borderId="3" xfId="0" applyFont="1" applyFill="1" applyBorder="1"/>
    <xf numFmtId="0" fontId="4" fillId="0" borderId="0" xfId="0" applyFont="1" applyBorder="1"/>
    <xf numFmtId="164" fontId="0" fillId="0" borderId="0" xfId="0" applyNumberFormat="1" applyFont="1" applyFill="1" applyBorder="1" applyAlignment="1">
      <alignment horizontal="center"/>
    </xf>
    <xf numFmtId="164" fontId="0" fillId="3" borderId="0" xfId="0" applyNumberFormat="1" applyFont="1" applyFill="1" applyBorder="1" applyAlignment="1">
      <alignment horizontal="center"/>
    </xf>
    <xf numFmtId="164" fontId="0" fillId="0" borderId="0" xfId="0" applyNumberFormat="1" applyFill="1" applyBorder="1" applyAlignment="1">
      <alignment horizontal="center"/>
    </xf>
    <xf numFmtId="0" fontId="2" fillId="0" borderId="6" xfId="0" applyFont="1" applyFill="1" applyBorder="1"/>
    <xf numFmtId="0" fontId="2" fillId="0" borderId="7" xfId="0" applyFont="1" applyFill="1" applyBorder="1" applyAlignment="1">
      <alignment horizontal="center"/>
    </xf>
    <xf numFmtId="164" fontId="7" fillId="3" borderId="7" xfId="0" applyNumberFormat="1" applyFont="1" applyFill="1" applyBorder="1" applyAlignment="1">
      <alignment horizontal="center"/>
    </xf>
    <xf numFmtId="0" fontId="7" fillId="3" borderId="7" xfId="0" applyFont="1" applyFill="1" applyBorder="1" applyAlignment="1">
      <alignment horizontal="center"/>
    </xf>
    <xf numFmtId="0" fontId="2" fillId="0" borderId="8" xfId="0" applyFont="1" applyFill="1" applyBorder="1"/>
    <xf numFmtId="0" fontId="0" fillId="0" borderId="0" xfId="0" applyAlignment="1">
      <alignment horizontal="left"/>
    </xf>
    <xf numFmtId="0" fontId="2" fillId="0" borderId="6" xfId="0" applyFont="1" applyFill="1" applyBorder="1" applyAlignment="1">
      <alignment horizontal="center"/>
    </xf>
    <xf numFmtId="0" fontId="2" fillId="0" borderId="8" xfId="0" applyFont="1" applyFill="1" applyBorder="1" applyAlignment="1">
      <alignment horizontal="center"/>
    </xf>
    <xf numFmtId="0" fontId="7" fillId="0" borderId="6" xfId="0" applyFont="1" applyFill="1" applyBorder="1" applyAlignment="1">
      <alignment horizontal="center"/>
    </xf>
    <xf numFmtId="2" fontId="0" fillId="0" borderId="0" xfId="0" applyNumberFormat="1" applyFill="1" applyAlignment="1">
      <alignment horizontal="center"/>
    </xf>
    <xf numFmtId="0" fontId="5" fillId="0" borderId="3" xfId="0" applyFont="1" applyFill="1" applyBorder="1"/>
    <xf numFmtId="0" fontId="5" fillId="0" borderId="8" xfId="0" applyFont="1" applyFill="1" applyBorder="1"/>
    <xf numFmtId="0" fontId="2" fillId="0" borderId="1" xfId="0" applyFont="1" applyFill="1" applyBorder="1" applyAlignment="1">
      <alignment horizontal="center"/>
    </xf>
    <xf numFmtId="0" fontId="2" fillId="0" borderId="3" xfId="0" applyFont="1" applyFill="1" applyBorder="1" applyAlignment="1">
      <alignment horizontal="center" wrapText="1"/>
    </xf>
    <xf numFmtId="0" fontId="2" fillId="0" borderId="9" xfId="0" applyFont="1" applyFill="1" applyBorder="1" applyAlignment="1">
      <alignment horizontal="left"/>
    </xf>
    <xf numFmtId="0" fontId="2" fillId="0" borderId="9" xfId="0" applyFont="1" applyFill="1" applyBorder="1" applyAlignment="1">
      <alignment horizontal="center"/>
    </xf>
    <xf numFmtId="0" fontId="2" fillId="0" borderId="9" xfId="0" applyFont="1" applyFill="1" applyBorder="1"/>
    <xf numFmtId="2" fontId="0" fillId="0" borderId="0" xfId="0" applyNumberFormat="1" applyAlignment="1">
      <alignment horizontal="center"/>
    </xf>
    <xf numFmtId="164" fontId="0" fillId="0" borderId="0" xfId="0" applyNumberFormat="1" applyAlignment="1">
      <alignment horizontal="center"/>
    </xf>
    <xf numFmtId="164" fontId="0" fillId="0" borderId="0" xfId="0" applyNumberFormat="1"/>
    <xf numFmtId="2" fontId="0" fillId="0" borderId="0" xfId="0" applyNumberFormat="1"/>
    <xf numFmtId="0" fontId="12" fillId="0" borderId="0" xfId="2" applyBorder="1" applyAlignment="1">
      <alignment horizontal="center"/>
    </xf>
    <xf numFmtId="0" fontId="13" fillId="0" borderId="0" xfId="0" applyFont="1" applyBorder="1" applyAlignment="1">
      <alignment horizontal="right"/>
    </xf>
    <xf numFmtId="164" fontId="14" fillId="0" borderId="0" xfId="0" applyNumberFormat="1" applyFont="1" applyFill="1" applyBorder="1" applyAlignment="1">
      <alignment horizontal="center"/>
    </xf>
    <xf numFmtId="1" fontId="14" fillId="0" borderId="0" xfId="0" applyNumberFormat="1" applyFont="1" applyFill="1" applyBorder="1" applyAlignment="1">
      <alignment horizontal="center"/>
    </xf>
    <xf numFmtId="2" fontId="14" fillId="0" borderId="0" xfId="0" applyNumberFormat="1" applyFont="1" applyFill="1" applyBorder="1" applyAlignment="1">
      <alignment horizontal="center"/>
    </xf>
    <xf numFmtId="0" fontId="10" fillId="5" borderId="0" xfId="0" applyFont="1" applyFill="1"/>
    <xf numFmtId="1" fontId="13" fillId="0" borderId="0" xfId="0" applyNumberFormat="1" applyFont="1" applyBorder="1" applyAlignment="1">
      <alignment horizontal="center"/>
    </xf>
    <xf numFmtId="164" fontId="13" fillId="0" borderId="0" xfId="0" applyNumberFormat="1" applyFont="1" applyBorder="1" applyAlignment="1">
      <alignment horizontal="center"/>
    </xf>
    <xf numFmtId="0" fontId="19" fillId="0" borderId="0" xfId="0" applyFont="1" applyBorder="1"/>
    <xf numFmtId="0" fontId="0" fillId="0" borderId="0" xfId="0" applyBorder="1"/>
    <xf numFmtId="0" fontId="0" fillId="0" borderId="0" xfId="0" applyBorder="1" applyAlignment="1"/>
    <xf numFmtId="0" fontId="0" fillId="0" borderId="0" xfId="0" applyBorder="1" applyAlignment="1">
      <alignment horizontal="center"/>
    </xf>
    <xf numFmtId="0" fontId="13" fillId="0" borderId="0" xfId="0" applyFont="1" applyBorder="1" applyAlignment="1">
      <alignment horizontal="center"/>
    </xf>
    <xf numFmtId="0" fontId="13" fillId="0" borderId="0" xfId="0" applyFont="1" applyBorder="1" applyAlignment="1">
      <alignment horizontal="left"/>
    </xf>
    <xf numFmtId="2" fontId="13" fillId="0" borderId="0" xfId="0" applyNumberFormat="1" applyFont="1" applyBorder="1" applyAlignment="1"/>
    <xf numFmtId="1" fontId="4" fillId="0" borderId="0" xfId="3" applyNumberFormat="1" applyFont="1" applyFill="1" applyBorder="1" applyAlignment="1">
      <alignment horizontal="center"/>
    </xf>
    <xf numFmtId="0" fontId="12" fillId="0" borderId="0" xfId="2" applyBorder="1" applyAlignment="1">
      <alignment horizontal="left"/>
    </xf>
    <xf numFmtId="0" fontId="12" fillId="0" borderId="0" xfId="2" applyBorder="1" applyAlignment="1">
      <alignment horizontal="right"/>
    </xf>
    <xf numFmtId="1" fontId="16" fillId="0" borderId="0" xfId="3" applyNumberFormat="1" applyFont="1" applyFill="1" applyBorder="1" applyAlignment="1">
      <alignment horizontal="center"/>
    </xf>
    <xf numFmtId="1" fontId="0" fillId="0" borderId="0" xfId="3" applyNumberFormat="1" applyFont="1" applyBorder="1" applyAlignment="1">
      <alignment horizontal="center"/>
    </xf>
    <xf numFmtId="0" fontId="0" fillId="0" borderId="0" xfId="0" applyBorder="1" applyAlignment="1">
      <alignment horizontal="left"/>
    </xf>
    <xf numFmtId="0" fontId="0" fillId="0" borderId="0" xfId="0" applyBorder="1" applyAlignment="1">
      <alignment horizontal="right"/>
    </xf>
    <xf numFmtId="0" fontId="17" fillId="5" borderId="7" xfId="2" applyFont="1" applyFill="1" applyBorder="1" applyAlignment="1">
      <alignment horizontal="center" textRotation="180"/>
    </xf>
    <xf numFmtId="0" fontId="18" fillId="5" borderId="7" xfId="0" applyFont="1" applyFill="1" applyBorder="1" applyAlignment="1">
      <alignment textRotation="180"/>
    </xf>
    <xf numFmtId="0" fontId="15" fillId="5" borderId="7" xfId="0" applyFont="1" applyFill="1" applyBorder="1" applyAlignment="1">
      <alignment horizontal="center"/>
    </xf>
    <xf numFmtId="11" fontId="18" fillId="5" borderId="7" xfId="0" applyNumberFormat="1" applyFont="1" applyFill="1" applyBorder="1" applyAlignment="1">
      <alignment horizontal="center"/>
    </xf>
    <xf numFmtId="0" fontId="2" fillId="5" borderId="7" xfId="0" applyFont="1" applyFill="1" applyBorder="1" applyAlignment="1">
      <alignment horizontal="center"/>
    </xf>
    <xf numFmtId="0" fontId="10" fillId="5" borderId="7" xfId="0" applyFont="1" applyFill="1" applyBorder="1"/>
    <xf numFmtId="0" fontId="14" fillId="0" borderId="0" xfId="4" applyFont="1" applyFill="1" applyBorder="1" applyAlignment="1">
      <alignment horizontal="center"/>
    </xf>
    <xf numFmtId="2" fontId="14" fillId="0" borderId="0" xfId="4" applyNumberFormat="1" applyFont="1" applyFill="1" applyBorder="1" applyAlignment="1">
      <alignment horizontal="center"/>
    </xf>
    <xf numFmtId="16" fontId="14" fillId="0" borderId="0" xfId="4" applyNumberFormat="1" applyFont="1" applyFill="1" applyBorder="1" applyAlignment="1">
      <alignment horizontal="center"/>
    </xf>
    <xf numFmtId="11" fontId="14" fillId="0" borderId="0" xfId="4" applyNumberFormat="1" applyFont="1" applyFill="1" applyBorder="1" applyAlignment="1">
      <alignment horizontal="center"/>
    </xf>
    <xf numFmtId="0" fontId="14" fillId="0" borderId="0" xfId="4" applyFont="1" applyFill="1"/>
    <xf numFmtId="2" fontId="14" fillId="0" borderId="0" xfId="4" applyNumberFormat="1" applyFont="1" applyFill="1" applyAlignment="1">
      <alignment horizontal="center"/>
    </xf>
    <xf numFmtId="0" fontId="20" fillId="0" borderId="0" xfId="4" applyFont="1" applyFill="1" applyAlignment="1">
      <alignment horizontal="center"/>
    </xf>
    <xf numFmtId="164" fontId="14" fillId="0" borderId="0" xfId="4" applyNumberFormat="1" applyFont="1" applyFill="1" applyBorder="1" applyAlignment="1">
      <alignment horizontal="center"/>
    </xf>
    <xf numFmtId="164" fontId="14" fillId="0" borderId="0" xfId="0" applyNumberFormat="1" applyFont="1" applyAlignment="1">
      <alignment horizontal="center"/>
    </xf>
    <xf numFmtId="1" fontId="14" fillId="0" borderId="0" xfId="4" applyNumberFormat="1" applyFont="1" applyFill="1" applyBorder="1" applyAlignment="1">
      <alignment horizontal="center" vertical="center"/>
    </xf>
    <xf numFmtId="2" fontId="14" fillId="0" borderId="0" xfId="4" applyNumberFormat="1" applyFont="1" applyFill="1" applyBorder="1" applyAlignment="1">
      <alignment horizontal="center" vertical="center"/>
    </xf>
    <xf numFmtId="1" fontId="14" fillId="0" borderId="0" xfId="4" applyNumberFormat="1" applyFont="1" applyFill="1" applyAlignment="1">
      <alignment horizontal="center" vertical="center"/>
    </xf>
    <xf numFmtId="0" fontId="10" fillId="5" borderId="7" xfId="0" applyFont="1" applyFill="1" applyBorder="1" applyAlignment="1">
      <alignment textRotation="90"/>
    </xf>
    <xf numFmtId="0" fontId="15" fillId="5" borderId="7" xfId="4" applyFont="1" applyFill="1" applyBorder="1" applyAlignment="1">
      <alignment horizontal="center" textRotation="90"/>
    </xf>
    <xf numFmtId="2" fontId="15" fillId="5" borderId="7" xfId="0" applyNumberFormat="1" applyFont="1" applyFill="1" applyBorder="1" applyAlignment="1">
      <alignment horizontal="center" textRotation="90"/>
    </xf>
    <xf numFmtId="0" fontId="15" fillId="5" borderId="7" xfId="4" applyFont="1" applyFill="1" applyBorder="1" applyAlignment="1">
      <alignment horizontal="center"/>
    </xf>
    <xf numFmtId="0" fontId="0" fillId="0" borderId="7" xfId="0" applyBorder="1"/>
    <xf numFmtId="0" fontId="0" fillId="0" borderId="0" xfId="0" applyNumberFormat="1"/>
    <xf numFmtId="2" fontId="0" fillId="0" borderId="0" xfId="0" applyNumberFormat="1" applyFill="1"/>
    <xf numFmtId="0" fontId="0" fillId="0" borderId="0" xfId="0" applyNumberFormat="1" applyFill="1"/>
    <xf numFmtId="165" fontId="0" fillId="0" borderId="0" xfId="0" applyNumberFormat="1" applyFont="1" applyAlignment="1">
      <alignment horizontal="center"/>
    </xf>
    <xf numFmtId="165" fontId="0" fillId="0" borderId="0" xfId="0" applyNumberFormat="1" applyFont="1" applyFill="1" applyAlignment="1">
      <alignment horizontal="center"/>
    </xf>
    <xf numFmtId="165" fontId="21" fillId="0" borderId="0" xfId="0" applyNumberFormat="1" applyFont="1" applyFill="1" applyAlignment="1">
      <alignment horizontal="center"/>
    </xf>
    <xf numFmtId="165" fontId="21" fillId="0" borderId="0" xfId="0" applyNumberFormat="1" applyFont="1" applyAlignment="1">
      <alignment horizontal="center"/>
    </xf>
    <xf numFmtId="165" fontId="0" fillId="0" borderId="0" xfId="0" applyNumberFormat="1" applyFont="1" applyBorder="1" applyAlignment="1">
      <alignment horizontal="center"/>
    </xf>
    <xf numFmtId="0" fontId="10" fillId="5" borderId="7" xfId="0" applyFont="1" applyFill="1" applyBorder="1" applyAlignment="1">
      <alignment horizontal="center" textRotation="90"/>
    </xf>
    <xf numFmtId="2" fontId="10" fillId="5" borderId="7" xfId="0" applyNumberFormat="1" applyFont="1" applyFill="1" applyBorder="1" applyAlignment="1">
      <alignment horizontal="center" textRotation="90"/>
    </xf>
    <xf numFmtId="2" fontId="10" fillId="5" borderId="7" xfId="0" applyNumberFormat="1" applyFont="1" applyFill="1" applyBorder="1"/>
    <xf numFmtId="0" fontId="10" fillId="5" borderId="7" xfId="0" applyFont="1" applyFill="1" applyBorder="1" applyAlignment="1">
      <alignment horizontal="center"/>
    </xf>
    <xf numFmtId="0" fontId="0" fillId="5" borderId="7" xfId="0" applyFill="1" applyBorder="1"/>
    <xf numFmtId="0" fontId="10" fillId="5" borderId="7" xfId="0" applyFont="1" applyFill="1" applyBorder="1" applyAlignment="1">
      <alignment horizontal="center" wrapText="1"/>
    </xf>
    <xf numFmtId="164" fontId="0" fillId="0" borderId="0" xfId="0" applyNumberFormat="1" applyFill="1" applyAlignment="1">
      <alignment horizontal="center"/>
    </xf>
    <xf numFmtId="0" fontId="22" fillId="0" borderId="0" xfId="5"/>
    <xf numFmtId="0" fontId="2" fillId="5" borderId="0" xfId="5" applyFont="1" applyFill="1" applyAlignment="1">
      <alignment textRotation="90"/>
    </xf>
    <xf numFmtId="0" fontId="2" fillId="5" borderId="0" xfId="5" applyFont="1" applyFill="1" applyAlignment="1">
      <alignment horizontal="center" textRotation="90"/>
    </xf>
    <xf numFmtId="0" fontId="22" fillId="0" borderId="0" xfId="5" applyFill="1" applyAlignment="1">
      <alignment horizontal="center"/>
    </xf>
    <xf numFmtId="0" fontId="22" fillId="0" borderId="0" xfId="5" applyFill="1"/>
    <xf numFmtId="164" fontId="22" fillId="0" borderId="0" xfId="5" applyNumberFormat="1" applyFill="1" applyAlignment="1">
      <alignment horizontal="center"/>
    </xf>
    <xf numFmtId="0" fontId="3" fillId="0" borderId="0" xfId="0" applyFont="1" applyFill="1" applyBorder="1" applyAlignment="1">
      <alignment horizontal="center" vertical="center"/>
    </xf>
    <xf numFmtId="0" fontId="3" fillId="0" borderId="0" xfId="0" applyFont="1" applyFill="1" applyBorder="1" applyAlignment="1">
      <alignment horizontal="left" vertical="center"/>
    </xf>
    <xf numFmtId="1" fontId="3" fillId="0" borderId="0" xfId="0" applyNumberFormat="1" applyFont="1" applyFill="1" applyBorder="1" applyAlignment="1">
      <alignment horizontal="center" vertical="center"/>
    </xf>
    <xf numFmtId="2" fontId="0" fillId="0" borderId="0" xfId="0" applyNumberFormat="1" applyFont="1" applyFill="1" applyBorder="1" applyAlignment="1">
      <alignment horizontal="center"/>
    </xf>
    <xf numFmtId="164" fontId="0" fillId="0" borderId="0" xfId="0" applyNumberFormat="1" applyFont="1" applyFill="1" applyBorder="1"/>
    <xf numFmtId="1" fontId="5" fillId="5" borderId="7" xfId="0" applyNumberFormat="1" applyFont="1" applyFill="1" applyBorder="1" applyAlignment="1">
      <alignment horizontal="center"/>
    </xf>
    <xf numFmtId="0" fontId="3" fillId="0" borderId="0" xfId="4" applyFont="1" applyFill="1" applyBorder="1" applyAlignment="1">
      <alignment horizontal="center" vertical="center"/>
    </xf>
    <xf numFmtId="0" fontId="0" fillId="0" borderId="0" xfId="0" applyFont="1" applyFill="1" applyBorder="1" applyAlignment="1">
      <alignment horizontal="center"/>
    </xf>
    <xf numFmtId="0" fontId="0" fillId="0" borderId="0" xfId="0" applyFont="1" applyFill="1" applyBorder="1"/>
    <xf numFmtId="1" fontId="0" fillId="0" borderId="0" xfId="0" applyNumberFormat="1" applyFont="1" applyFill="1" applyBorder="1"/>
    <xf numFmtId="2" fontId="0" fillId="0" borderId="0" xfId="0" applyNumberFormat="1" applyFont="1" applyFill="1" applyBorder="1" applyAlignment="1">
      <alignment horizontal="left"/>
    </xf>
    <xf numFmtId="0" fontId="2" fillId="5" borderId="7" xfId="0" applyFont="1" applyFill="1" applyBorder="1" applyAlignment="1">
      <alignment horizontal="left" textRotation="90"/>
    </xf>
    <xf numFmtId="2" fontId="0" fillId="0" borderId="0" xfId="0" applyNumberFormat="1" applyFont="1"/>
    <xf numFmtId="0" fontId="2" fillId="5" borderId="7" xfId="0" applyFont="1" applyFill="1" applyBorder="1" applyAlignment="1">
      <alignment horizontal="center" wrapText="1"/>
    </xf>
    <xf numFmtId="0" fontId="22" fillId="4" borderId="0" xfId="5" applyFill="1" applyAlignment="1">
      <alignment horizontal="center"/>
    </xf>
    <xf numFmtId="0" fontId="22" fillId="7" borderId="0" xfId="5" applyFill="1" applyAlignment="1">
      <alignment horizontal="center"/>
    </xf>
    <xf numFmtId="0" fontId="7" fillId="3" borderId="2" xfId="0" applyFont="1" applyFill="1" applyBorder="1" applyAlignment="1">
      <alignment horizontal="center" vertical="center"/>
    </xf>
    <xf numFmtId="0" fontId="0" fillId="9" borderId="0" xfId="0" applyFont="1" applyFill="1" applyBorder="1"/>
    <xf numFmtId="0" fontId="4" fillId="9" borderId="0" xfId="0" applyFont="1" applyFill="1" applyBorder="1"/>
    <xf numFmtId="164" fontId="0" fillId="9" borderId="0" xfId="0" applyNumberFormat="1" applyFont="1" applyFill="1" applyBorder="1" applyAlignment="1">
      <alignment horizontal="center"/>
    </xf>
    <xf numFmtId="2" fontId="0" fillId="9" borderId="0" xfId="0" applyNumberFormat="1" applyFill="1" applyBorder="1"/>
    <xf numFmtId="2" fontId="10" fillId="9" borderId="0" xfId="0" applyNumberFormat="1" applyFont="1" applyFill="1" applyBorder="1" applyAlignment="1">
      <alignment horizontal="center"/>
    </xf>
    <xf numFmtId="164" fontId="0" fillId="9" borderId="0" xfId="0" applyNumberFormat="1" applyFont="1" applyFill="1" applyBorder="1" applyAlignment="1">
      <alignment horizontal="left"/>
    </xf>
    <xf numFmtId="164" fontId="0" fillId="9" borderId="0" xfId="0" applyNumberFormat="1" applyFont="1" applyFill="1" applyBorder="1" applyAlignment="1"/>
    <xf numFmtId="0" fontId="0" fillId="0" borderId="0" xfId="0" applyFill="1" applyBorder="1" applyAlignment="1">
      <alignment horizontal="center"/>
    </xf>
    <xf numFmtId="164" fontId="10" fillId="3" borderId="0" xfId="0" applyNumberFormat="1" applyFont="1" applyFill="1" applyBorder="1" applyAlignment="1">
      <alignment horizontal="center"/>
    </xf>
    <xf numFmtId="0" fontId="0" fillId="0" borderId="0" xfId="0" applyFill="1" applyBorder="1"/>
    <xf numFmtId="0" fontId="4" fillId="0" borderId="0" xfId="0" applyFont="1" applyFill="1" applyBorder="1"/>
    <xf numFmtId="0" fontId="0" fillId="10" borderId="0" xfId="0" applyFill="1"/>
    <xf numFmtId="0" fontId="0" fillId="10" borderId="0" xfId="0" applyFill="1" applyBorder="1"/>
    <xf numFmtId="0" fontId="0" fillId="10" borderId="0" xfId="0" applyFill="1" applyAlignment="1">
      <alignment horizontal="center"/>
    </xf>
    <xf numFmtId="164" fontId="0" fillId="10" borderId="0" xfId="0" applyNumberFormat="1" applyFont="1" applyFill="1" applyAlignment="1">
      <alignment horizontal="center"/>
    </xf>
    <xf numFmtId="164" fontId="0" fillId="10" borderId="0" xfId="0" applyNumberFormat="1" applyFill="1" applyBorder="1" applyAlignment="1">
      <alignment horizontal="center"/>
    </xf>
    <xf numFmtId="0" fontId="0" fillId="10" borderId="0" xfId="0" applyFill="1" applyBorder="1" applyAlignment="1">
      <alignment horizontal="left"/>
    </xf>
    <xf numFmtId="0" fontId="4" fillId="10" borderId="0" xfId="0" applyFont="1" applyFill="1"/>
    <xf numFmtId="0" fontId="0" fillId="10" borderId="0" xfId="0" applyFill="1" applyAlignment="1">
      <alignment horizontal="left"/>
    </xf>
    <xf numFmtId="164" fontId="4" fillId="10" borderId="0" xfId="0" applyNumberFormat="1" applyFont="1" applyFill="1" applyAlignment="1">
      <alignment horizontal="center"/>
    </xf>
    <xf numFmtId="0" fontId="4" fillId="10" borderId="0" xfId="0" applyFont="1" applyFill="1" applyAlignment="1">
      <alignment horizontal="center"/>
    </xf>
    <xf numFmtId="2" fontId="0" fillId="0" borderId="0" xfId="0" applyNumberFormat="1" applyBorder="1" applyAlignment="1"/>
    <xf numFmtId="2" fontId="0" fillId="0" borderId="0" xfId="0" applyNumberFormat="1" applyFill="1" applyBorder="1" applyAlignment="1"/>
    <xf numFmtId="2" fontId="0" fillId="3" borderId="0" xfId="0" applyNumberFormat="1" applyFont="1" applyFill="1" applyBorder="1" applyAlignment="1"/>
    <xf numFmtId="2" fontId="10" fillId="3" borderId="0" xfId="0" applyNumberFormat="1" applyFont="1" applyFill="1" applyBorder="1" applyAlignment="1"/>
    <xf numFmtId="2" fontId="0" fillId="3" borderId="0" xfId="0" applyNumberFormat="1" applyFill="1" applyBorder="1" applyAlignment="1"/>
    <xf numFmtId="2" fontId="4" fillId="3" borderId="0" xfId="0" applyNumberFormat="1" applyFont="1" applyFill="1" applyBorder="1" applyAlignment="1"/>
    <xf numFmtId="2" fontId="11" fillId="3" borderId="0" xfId="0" applyNumberFormat="1" applyFont="1" applyFill="1" applyBorder="1" applyAlignment="1"/>
    <xf numFmtId="2" fontId="0" fillId="0" borderId="0" xfId="0" applyNumberFormat="1" applyAlignment="1"/>
    <xf numFmtId="2" fontId="0" fillId="0" borderId="0" xfId="0" applyNumberFormat="1" applyFill="1" applyAlignment="1"/>
    <xf numFmtId="2" fontId="4" fillId="3" borderId="0" xfId="0" applyNumberFormat="1" applyFont="1" applyFill="1" applyAlignment="1"/>
    <xf numFmtId="2" fontId="11" fillId="3" borderId="0" xfId="0" applyNumberFormat="1" applyFont="1" applyFill="1" applyAlignment="1"/>
    <xf numFmtId="2" fontId="0" fillId="3" borderId="0" xfId="0" applyNumberFormat="1" applyFont="1" applyFill="1" applyAlignment="1"/>
    <xf numFmtId="2" fontId="10" fillId="3" borderId="0" xfId="0" applyNumberFormat="1" applyFont="1" applyFill="1" applyAlignment="1"/>
    <xf numFmtId="2" fontId="0" fillId="10" borderId="0" xfId="0" applyNumberFormat="1" applyFill="1" applyAlignment="1"/>
    <xf numFmtId="2" fontId="0" fillId="10" borderId="0" xfId="0" applyNumberFormat="1" applyFont="1" applyFill="1" applyAlignment="1"/>
    <xf numFmtId="2" fontId="10" fillId="10" borderId="0" xfId="0" applyNumberFormat="1" applyFont="1" applyFill="1" applyAlignment="1"/>
    <xf numFmtId="2" fontId="4" fillId="10" borderId="0" xfId="0" applyNumberFormat="1" applyFont="1" applyFill="1" applyAlignment="1"/>
    <xf numFmtId="2" fontId="11" fillId="10" borderId="0" xfId="0" applyNumberFormat="1" applyFont="1" applyFill="1" applyAlignment="1"/>
    <xf numFmtId="2" fontId="10" fillId="3" borderId="0" xfId="0" applyNumberFormat="1" applyFont="1" applyFill="1" applyAlignment="1">
      <alignment horizontal="right"/>
    </xf>
    <xf numFmtId="164" fontId="10" fillId="0" borderId="0" xfId="0" applyNumberFormat="1" applyFont="1" applyFill="1" applyAlignment="1">
      <alignment horizontal="center"/>
    </xf>
    <xf numFmtId="0" fontId="10" fillId="0" borderId="0" xfId="0" applyFont="1" applyAlignment="1">
      <alignment horizontal="left"/>
    </xf>
    <xf numFmtId="0" fontId="11" fillId="0" borderId="0" xfId="0" applyFont="1"/>
    <xf numFmtId="0" fontId="10" fillId="0" borderId="0" xfId="0" applyFont="1" applyFill="1" applyBorder="1"/>
    <xf numFmtId="0" fontId="10" fillId="0" borderId="0" xfId="0" applyFont="1"/>
    <xf numFmtId="0" fontId="10" fillId="0" borderId="0" xfId="0" applyFont="1" applyBorder="1" applyAlignment="1">
      <alignment horizontal="left"/>
    </xf>
    <xf numFmtId="0" fontId="10" fillId="0" borderId="0" xfId="0" applyFont="1" applyBorder="1"/>
    <xf numFmtId="0" fontId="0" fillId="0" borderId="12" xfId="0" applyBorder="1"/>
    <xf numFmtId="164" fontId="0" fillId="0" borderId="12" xfId="0" applyNumberFormat="1" applyBorder="1"/>
    <xf numFmtId="0" fontId="15" fillId="5" borderId="13" xfId="0" applyFont="1" applyFill="1" applyBorder="1" applyAlignment="1">
      <alignment horizontal="center"/>
    </xf>
    <xf numFmtId="1" fontId="14" fillId="0" borderId="12" xfId="0" applyNumberFormat="1" applyFont="1" applyFill="1" applyBorder="1" applyAlignment="1">
      <alignment horizontal="center"/>
    </xf>
    <xf numFmtId="1" fontId="13" fillId="0" borderId="12" xfId="0" applyNumberFormat="1" applyFont="1" applyBorder="1" applyAlignment="1">
      <alignment horizontal="center"/>
    </xf>
    <xf numFmtId="1" fontId="13" fillId="0" borderId="12" xfId="0" applyNumberFormat="1" applyFont="1" applyFill="1" applyBorder="1" applyAlignment="1">
      <alignment horizontal="center"/>
    </xf>
    <xf numFmtId="1" fontId="16" fillId="0" borderId="12" xfId="3" applyNumberFormat="1" applyFont="1" applyFill="1" applyBorder="1" applyAlignment="1">
      <alignment horizontal="center"/>
    </xf>
    <xf numFmtId="1" fontId="4" fillId="0" borderId="12" xfId="3" applyNumberFormat="1" applyFont="1" applyFill="1" applyBorder="1" applyAlignment="1">
      <alignment horizontal="center"/>
    </xf>
    <xf numFmtId="1" fontId="0" fillId="0" borderId="12" xfId="3" applyNumberFormat="1" applyFont="1" applyBorder="1" applyAlignment="1">
      <alignment horizontal="center"/>
    </xf>
    <xf numFmtId="2" fontId="13" fillId="0" borderId="0" xfId="0" applyNumberFormat="1" applyFont="1" applyBorder="1" applyAlignment="1">
      <alignment horizontal="center"/>
    </xf>
    <xf numFmtId="2" fontId="12" fillId="0" borderId="0" xfId="2" applyNumberFormat="1" applyFill="1" applyBorder="1" applyAlignment="1">
      <alignment horizontal="center"/>
    </xf>
    <xf numFmtId="0" fontId="12" fillId="0" borderId="0" xfId="2" applyFill="1" applyBorder="1" applyAlignment="1">
      <alignment horizontal="center"/>
    </xf>
    <xf numFmtId="0" fontId="0" fillId="0" borderId="2" xfId="0" applyBorder="1"/>
    <xf numFmtId="0" fontId="0" fillId="0" borderId="2" xfId="0" applyBorder="1" applyAlignment="1">
      <alignment horizontal="center"/>
    </xf>
    <xf numFmtId="0" fontId="0" fillId="0" borderId="2" xfId="0" applyBorder="1" applyAlignment="1"/>
    <xf numFmtId="0" fontId="19" fillId="0" borderId="14" xfId="0" applyFont="1" applyBorder="1"/>
    <xf numFmtId="0" fontId="0" fillId="0" borderId="3" xfId="0" applyBorder="1" applyAlignment="1">
      <alignment horizontal="center"/>
    </xf>
    <xf numFmtId="0" fontId="17" fillId="5" borderId="6" xfId="2" applyFont="1" applyFill="1" applyBorder="1" applyAlignment="1">
      <alignment horizontal="center" textRotation="180"/>
    </xf>
    <xf numFmtId="0" fontId="2" fillId="5" borderId="8" xfId="0" applyFont="1" applyFill="1" applyBorder="1" applyAlignment="1">
      <alignment horizontal="center" wrapText="1"/>
    </xf>
    <xf numFmtId="0" fontId="19" fillId="0" borderId="1" xfId="0" applyFont="1" applyBorder="1"/>
    <xf numFmtId="0" fontId="12" fillId="0" borderId="0" xfId="0" applyFont="1" applyAlignment="1">
      <alignment horizontal="left" vertical="center"/>
    </xf>
    <xf numFmtId="0" fontId="17" fillId="0" borderId="0" xfId="0" applyFont="1" applyAlignment="1">
      <alignment horizontal="left" vertical="center"/>
    </xf>
    <xf numFmtId="0" fontId="25" fillId="0" borderId="0" xfId="0" applyFont="1" applyAlignment="1">
      <alignment horizontal="left"/>
    </xf>
    <xf numFmtId="0" fontId="4" fillId="0" borderId="0" xfId="6" applyFont="1" applyFill="1" applyBorder="1" applyAlignment="1">
      <alignment horizontal="left" vertical="center"/>
    </xf>
    <xf numFmtId="0" fontId="0" fillId="0" borderId="0" xfId="0" applyFont="1" applyAlignment="1">
      <alignment horizontal="left" vertical="center"/>
    </xf>
    <xf numFmtId="0" fontId="12" fillId="0" borderId="0" xfId="0" applyFont="1" applyAlignment="1">
      <alignment horizontal="left" vertical="center" wrapText="1"/>
    </xf>
    <xf numFmtId="0" fontId="18" fillId="5" borderId="7" xfId="0" applyFont="1" applyFill="1" applyBorder="1" applyAlignment="1">
      <alignment horizontal="center" vertical="top" textRotation="180"/>
    </xf>
    <xf numFmtId="0" fontId="18" fillId="5" borderId="7" xfId="0" applyFont="1" applyFill="1" applyBorder="1" applyAlignment="1">
      <alignment horizontal="center" vertical="top" textRotation="180" wrapText="1"/>
    </xf>
    <xf numFmtId="0" fontId="17" fillId="5" borderId="7" xfId="2" applyFont="1" applyFill="1" applyBorder="1" applyAlignment="1">
      <alignment horizontal="center" vertical="top" textRotation="180"/>
    </xf>
    <xf numFmtId="0" fontId="17" fillId="5" borderId="7" xfId="2" applyFont="1" applyFill="1" applyBorder="1" applyAlignment="1">
      <alignment horizontal="left" vertical="top" textRotation="180"/>
    </xf>
    <xf numFmtId="0" fontId="17" fillId="5" borderId="7" xfId="2" applyFont="1" applyFill="1" applyBorder="1" applyAlignment="1">
      <alignment horizontal="right" vertical="top" textRotation="180"/>
    </xf>
    <xf numFmtId="2" fontId="18" fillId="5" borderId="7" xfId="0" applyNumberFormat="1" applyFont="1" applyFill="1" applyBorder="1" applyAlignment="1">
      <alignment horizontal="center" vertical="top" textRotation="180"/>
    </xf>
    <xf numFmtId="2" fontId="13" fillId="8" borderId="0" xfId="0" applyNumberFormat="1" applyFont="1" applyFill="1" applyBorder="1" applyAlignment="1">
      <alignment horizontal="center"/>
    </xf>
    <xf numFmtId="0" fontId="13" fillId="0" borderId="0" xfId="0" applyFont="1" applyBorder="1"/>
    <xf numFmtId="0" fontId="18" fillId="0" borderId="0" xfId="0" applyFont="1" applyBorder="1"/>
    <xf numFmtId="0" fontId="18" fillId="0" borderId="0" xfId="0" applyFont="1" applyBorder="1" applyAlignment="1">
      <alignment horizontal="center" vertical="center" textRotation="90" wrapText="1"/>
    </xf>
    <xf numFmtId="0" fontId="18" fillId="0" borderId="15" xfId="0" applyFont="1" applyBorder="1" applyAlignment="1">
      <alignment horizontal="center" vertical="center" textRotation="90" wrapText="1" shrinkToFit="1"/>
    </xf>
    <xf numFmtId="1" fontId="13" fillId="0" borderId="0" xfId="0" applyNumberFormat="1" applyFont="1" applyBorder="1"/>
    <xf numFmtId="1" fontId="0" fillId="0" borderId="15" xfId="0" applyNumberFormat="1" applyBorder="1"/>
    <xf numFmtId="0" fontId="13" fillId="0" borderId="15" xfId="0" applyFont="1" applyFill="1" applyBorder="1"/>
    <xf numFmtId="164" fontId="0" fillId="0" borderId="15" xfId="0" applyNumberFormat="1" applyBorder="1"/>
    <xf numFmtId="164" fontId="13" fillId="0" borderId="15" xfId="0" applyNumberFormat="1" applyFont="1" applyBorder="1"/>
    <xf numFmtId="164" fontId="13" fillId="0" borderId="15" xfId="0" applyNumberFormat="1" applyFont="1" applyFill="1" applyBorder="1"/>
    <xf numFmtId="0" fontId="0" fillId="0" borderId="15" xfId="0" applyBorder="1"/>
    <xf numFmtId="0" fontId="13" fillId="0" borderId="15" xfId="0" applyFont="1" applyBorder="1"/>
    <xf numFmtId="164" fontId="0" fillId="0" borderId="15" xfId="0" applyNumberFormat="1" applyFill="1" applyBorder="1"/>
    <xf numFmtId="1" fontId="13" fillId="0" borderId="15" xfId="0" applyNumberFormat="1" applyFont="1" applyBorder="1"/>
    <xf numFmtId="2" fontId="18" fillId="0" borderId="1" xfId="0" applyNumberFormat="1" applyFont="1" applyBorder="1"/>
    <xf numFmtId="0" fontId="13" fillId="0" borderId="2" xfId="0" applyFont="1" applyBorder="1"/>
    <xf numFmtId="0" fontId="13" fillId="0" borderId="2" xfId="0" applyFont="1" applyFill="1" applyBorder="1"/>
    <xf numFmtId="0" fontId="13" fillId="0" borderId="3" xfId="0" applyFont="1" applyBorder="1"/>
    <xf numFmtId="2" fontId="18" fillId="0" borderId="4" xfId="0" applyNumberFormat="1" applyFont="1" applyBorder="1"/>
    <xf numFmtId="0" fontId="13" fillId="0" borderId="0" xfId="0" applyFont="1" applyFill="1" applyBorder="1"/>
    <xf numFmtId="0" fontId="13" fillId="0" borderId="5" xfId="0" applyFont="1" applyBorder="1"/>
    <xf numFmtId="0" fontId="18" fillId="0" borderId="0" xfId="0" applyFont="1" applyFill="1" applyBorder="1"/>
    <xf numFmtId="2" fontId="13" fillId="0" borderId="4" xfId="0" applyNumberFormat="1" applyFont="1" applyBorder="1"/>
    <xf numFmtId="2" fontId="18" fillId="0" borderId="18" xfId="0" applyNumberFormat="1" applyFont="1" applyBorder="1" applyAlignment="1">
      <alignment horizontal="center" vertical="center" textRotation="90" wrapText="1" shrinkToFit="1"/>
    </xf>
    <xf numFmtId="0" fontId="13" fillId="0" borderId="0" xfId="0" applyFont="1" applyBorder="1" applyAlignment="1">
      <alignment textRotation="90"/>
    </xf>
    <xf numFmtId="2" fontId="13" fillId="0" borderId="18" xfId="0" applyNumberFormat="1" applyFont="1" applyBorder="1"/>
    <xf numFmtId="164" fontId="13" fillId="0" borderId="19" xfId="0" applyNumberFormat="1" applyFont="1" applyBorder="1"/>
    <xf numFmtId="2" fontId="13" fillId="0" borderId="20" xfId="0" applyNumberFormat="1" applyFont="1" applyBorder="1"/>
    <xf numFmtId="1" fontId="13" fillId="0" borderId="7" xfId="0" applyNumberFormat="1" applyFont="1" applyBorder="1"/>
    <xf numFmtId="1" fontId="0" fillId="0" borderId="21" xfId="0" applyNumberFormat="1" applyBorder="1"/>
    <xf numFmtId="1" fontId="13" fillId="0" borderId="21" xfId="0" applyNumberFormat="1" applyFont="1" applyBorder="1"/>
    <xf numFmtId="0" fontId="13" fillId="0" borderId="21" xfId="0" applyFont="1" applyFill="1" applyBorder="1"/>
    <xf numFmtId="164" fontId="0" fillId="0" borderId="21" xfId="0" applyNumberFormat="1" applyBorder="1"/>
    <xf numFmtId="164" fontId="13" fillId="0" borderId="21" xfId="0" applyNumberFormat="1" applyFont="1" applyFill="1" applyBorder="1"/>
    <xf numFmtId="164" fontId="13" fillId="0" borderId="21" xfId="0" applyNumberFormat="1" applyFont="1" applyBorder="1"/>
    <xf numFmtId="0" fontId="0" fillId="0" borderId="21" xfId="0" applyBorder="1"/>
    <xf numFmtId="0" fontId="13" fillId="0" borderId="21" xfId="0" applyFont="1" applyBorder="1"/>
    <xf numFmtId="164" fontId="0" fillId="0" borderId="21" xfId="0" applyNumberFormat="1" applyFill="1" applyBorder="1"/>
    <xf numFmtId="164" fontId="13" fillId="0" borderId="22" xfId="0" applyNumberFormat="1" applyFont="1" applyBorder="1"/>
    <xf numFmtId="0" fontId="18" fillId="0" borderId="0" xfId="0" applyFont="1" applyBorder="1" applyAlignment="1">
      <alignment horizontal="center" vertical="center" textRotation="90" wrapText="1" shrinkToFit="1"/>
    </xf>
    <xf numFmtId="0" fontId="18" fillId="0" borderId="15" xfId="0" applyFont="1" applyFill="1" applyBorder="1" applyAlignment="1">
      <alignment horizontal="center" vertical="center" textRotation="90" wrapText="1" shrinkToFit="1"/>
    </xf>
    <xf numFmtId="0" fontId="0" fillId="0" borderId="15" xfId="0" applyFill="1" applyBorder="1"/>
    <xf numFmtId="1" fontId="0" fillId="0" borderId="15" xfId="0" applyNumberFormat="1" applyFill="1" applyBorder="1"/>
    <xf numFmtId="0" fontId="18" fillId="0" borderId="1" xfId="0" applyFont="1" applyBorder="1"/>
    <xf numFmtId="0" fontId="18" fillId="0" borderId="2" xfId="0" applyFont="1" applyBorder="1"/>
    <xf numFmtId="0" fontId="0" fillId="0" borderId="2" xfId="0" applyFill="1" applyBorder="1"/>
    <xf numFmtId="0" fontId="0" fillId="0" borderId="3" xfId="0" applyFill="1" applyBorder="1"/>
    <xf numFmtId="0" fontId="18" fillId="0" borderId="4" xfId="0" applyFont="1" applyBorder="1"/>
    <xf numFmtId="0" fontId="0" fillId="0" borderId="5" xfId="0" applyFill="1" applyBorder="1"/>
    <xf numFmtId="0" fontId="0" fillId="0" borderId="4" xfId="0" applyBorder="1"/>
    <xf numFmtId="0" fontId="18" fillId="0" borderId="18" xfId="0" applyFont="1" applyBorder="1" applyAlignment="1">
      <alignment horizontal="center" vertical="center" textRotation="90" wrapText="1" shrinkToFit="1"/>
    </xf>
    <xf numFmtId="0" fontId="0" fillId="0" borderId="0" xfId="0" applyBorder="1" applyAlignment="1">
      <alignment textRotation="90"/>
    </xf>
    <xf numFmtId="0" fontId="18" fillId="0" borderId="19" xfId="0" applyFont="1" applyFill="1" applyBorder="1" applyAlignment="1">
      <alignment horizontal="center" vertical="center" textRotation="90" wrapText="1" shrinkToFit="1"/>
    </xf>
    <xf numFmtId="2" fontId="0" fillId="0" borderId="18" xfId="0" applyNumberFormat="1" applyBorder="1"/>
    <xf numFmtId="164" fontId="0" fillId="0" borderId="19" xfId="0" applyNumberFormat="1" applyBorder="1"/>
    <xf numFmtId="2" fontId="0" fillId="0" borderId="20" xfId="0" applyNumberFormat="1" applyBorder="1"/>
    <xf numFmtId="0" fontId="0" fillId="0" borderId="21" xfId="0" applyFill="1" applyBorder="1"/>
    <xf numFmtId="1" fontId="0" fillId="0" borderId="21" xfId="0" applyNumberFormat="1" applyFill="1" applyBorder="1"/>
    <xf numFmtId="164" fontId="0" fillId="0" borderId="22" xfId="0" applyNumberFormat="1" applyBorder="1"/>
    <xf numFmtId="164" fontId="10" fillId="0" borderId="15" xfId="0" applyNumberFormat="1" applyFont="1" applyBorder="1"/>
    <xf numFmtId="164" fontId="10" fillId="0" borderId="21" xfId="0" applyNumberFormat="1" applyFont="1" applyBorder="1"/>
    <xf numFmtId="164" fontId="18" fillId="0" borderId="15" xfId="0" applyNumberFormat="1" applyFont="1" applyBorder="1"/>
    <xf numFmtId="164" fontId="18" fillId="0" borderId="21" xfId="0" applyNumberFormat="1" applyFont="1" applyBorder="1"/>
    <xf numFmtId="1" fontId="0" fillId="11" borderId="0" xfId="0" applyNumberFormat="1" applyFont="1" applyFill="1" applyBorder="1"/>
    <xf numFmtId="2" fontId="0" fillId="11" borderId="0" xfId="0" applyNumberFormat="1" applyFont="1" applyFill="1" applyBorder="1" applyAlignment="1">
      <alignment horizontal="center"/>
    </xf>
    <xf numFmtId="164" fontId="0" fillId="11" borderId="0" xfId="0" applyNumberFormat="1" applyFont="1" applyFill="1" applyBorder="1"/>
    <xf numFmtId="0" fontId="10" fillId="0" borderId="0" xfId="0" applyFont="1" applyFill="1"/>
    <xf numFmtId="164" fontId="0" fillId="0" borderId="0" xfId="0" applyNumberFormat="1" applyFill="1"/>
    <xf numFmtId="1" fontId="0" fillId="0" borderId="0" xfId="0" applyNumberFormat="1" applyFill="1"/>
    <xf numFmtId="164" fontId="10" fillId="0" borderId="0" xfId="0" applyNumberFormat="1" applyFont="1" applyFill="1"/>
    <xf numFmtId="0" fontId="30" fillId="0" borderId="1" xfId="0" applyFont="1" applyBorder="1"/>
    <xf numFmtId="0" fontId="31" fillId="0" borderId="2" xfId="0" applyFont="1" applyBorder="1" applyAlignment="1">
      <alignment horizontal="center" vertical="center"/>
    </xf>
    <xf numFmtId="165" fontId="31" fillId="0" borderId="2" xfId="0" applyNumberFormat="1" applyFont="1" applyBorder="1" applyAlignment="1">
      <alignment horizontal="center" vertical="center"/>
    </xf>
    <xf numFmtId="0" fontId="33" fillId="0" borderId="3" xfId="0" applyFont="1" applyBorder="1" applyAlignment="1">
      <alignment horizontal="center"/>
    </xf>
    <xf numFmtId="0" fontId="31" fillId="0" borderId="4" xfId="0" applyFont="1" applyBorder="1" applyAlignment="1">
      <alignment horizontal="center" vertical="center"/>
    </xf>
    <xf numFmtId="1" fontId="31" fillId="0" borderId="0" xfId="0" applyNumberFormat="1" applyFont="1" applyBorder="1" applyAlignment="1">
      <alignment horizontal="center" vertical="center"/>
    </xf>
    <xf numFmtId="165" fontId="31" fillId="0" borderId="0" xfId="0" applyNumberFormat="1" applyFont="1" applyBorder="1" applyAlignment="1">
      <alignment horizontal="center" vertical="center"/>
    </xf>
    <xf numFmtId="165" fontId="31" fillId="0" borderId="5" xfId="0" applyNumberFormat="1" applyFont="1" applyBorder="1" applyAlignment="1">
      <alignment horizontal="center" vertical="center"/>
    </xf>
    <xf numFmtId="0" fontId="31" fillId="0" borderId="0" xfId="0" applyFont="1" applyBorder="1" applyAlignment="1">
      <alignment horizontal="center" vertical="center"/>
    </xf>
    <xf numFmtId="0" fontId="33" fillId="0" borderId="5" xfId="0" applyFont="1" applyBorder="1" applyAlignment="1">
      <alignment horizontal="center"/>
    </xf>
    <xf numFmtId="0" fontId="32" fillId="0" borderId="0" xfId="0" applyFont="1" applyBorder="1" applyAlignment="1">
      <alignment horizontal="center" vertical="center"/>
    </xf>
    <xf numFmtId="0" fontId="31" fillId="0" borderId="6" xfId="0" applyFont="1" applyBorder="1" applyAlignment="1">
      <alignment horizontal="center" vertical="center"/>
    </xf>
    <xf numFmtId="1" fontId="31" fillId="0" borderId="7" xfId="0" applyNumberFormat="1" applyFont="1" applyBorder="1" applyAlignment="1">
      <alignment horizontal="center" vertical="center"/>
    </xf>
    <xf numFmtId="165" fontId="31" fillId="0" borderId="7" xfId="0" applyNumberFormat="1" applyFont="1" applyBorder="1" applyAlignment="1">
      <alignment horizontal="center" vertical="center"/>
    </xf>
    <xf numFmtId="165" fontId="31" fillId="0" borderId="8" xfId="0" applyNumberFormat="1" applyFont="1" applyBorder="1" applyAlignment="1">
      <alignment horizontal="center" vertical="center"/>
    </xf>
    <xf numFmtId="2" fontId="31" fillId="0" borderId="0" xfId="0" applyNumberFormat="1" applyFont="1" applyBorder="1" applyAlignment="1">
      <alignment horizontal="center" vertical="center"/>
    </xf>
    <xf numFmtId="2" fontId="31" fillId="0" borderId="5" xfId="0" applyNumberFormat="1" applyFont="1" applyBorder="1" applyAlignment="1">
      <alignment horizontal="center" vertical="center"/>
    </xf>
    <xf numFmtId="2" fontId="32" fillId="0" borderId="0" xfId="0" applyNumberFormat="1" applyFont="1" applyBorder="1" applyAlignment="1">
      <alignment horizontal="center" vertical="center"/>
    </xf>
    <xf numFmtId="2" fontId="33" fillId="0" borderId="5" xfId="0" applyNumberFormat="1" applyFont="1" applyBorder="1" applyAlignment="1">
      <alignment horizontal="center"/>
    </xf>
    <xf numFmtId="164" fontId="0" fillId="11" borderId="0" xfId="0" applyNumberFormat="1" applyFont="1" applyFill="1" applyBorder="1" applyAlignment="1">
      <alignment horizontal="center"/>
    </xf>
    <xf numFmtId="164" fontId="0" fillId="11" borderId="0" xfId="0" applyNumberFormat="1" applyFill="1" applyBorder="1" applyAlignment="1">
      <alignment horizontal="center"/>
    </xf>
    <xf numFmtId="0" fontId="0" fillId="11" borderId="0" xfId="0" applyFill="1" applyBorder="1" applyAlignment="1">
      <alignment horizontal="center"/>
    </xf>
    <xf numFmtId="164" fontId="0" fillId="11" borderId="0" xfId="0" applyNumberFormat="1" applyFont="1" applyFill="1" applyAlignment="1">
      <alignment horizontal="center"/>
    </xf>
    <xf numFmtId="0" fontId="0" fillId="11" borderId="0" xfId="0" applyFill="1" applyAlignment="1">
      <alignment horizontal="center"/>
    </xf>
    <xf numFmtId="164" fontId="4" fillId="11" borderId="0" xfId="0" applyNumberFormat="1" applyFont="1" applyFill="1" applyAlignment="1">
      <alignment horizontal="center"/>
    </xf>
    <xf numFmtId="164" fontId="4" fillId="11" borderId="0" xfId="0" applyNumberFormat="1" applyFont="1" applyFill="1" applyBorder="1" applyAlignment="1">
      <alignment horizontal="center"/>
    </xf>
    <xf numFmtId="0" fontId="2" fillId="0" borderId="0" xfId="0" applyFont="1" applyBorder="1"/>
    <xf numFmtId="0" fontId="29" fillId="0" borderId="0" xfId="0" applyFont="1" applyBorder="1"/>
    <xf numFmtId="0" fontId="29" fillId="0" borderId="0" xfId="0" applyFont="1"/>
    <xf numFmtId="164" fontId="10" fillId="0" borderId="0" xfId="0" applyNumberFormat="1" applyFont="1" applyAlignment="1">
      <alignment horizontal="center"/>
    </xf>
    <xf numFmtId="0" fontId="31" fillId="0" borderId="0" xfId="0" applyNumberFormat="1" applyFont="1" applyBorder="1" applyAlignment="1">
      <alignment horizontal="center" vertical="center"/>
    </xf>
    <xf numFmtId="164" fontId="31" fillId="0" borderId="0" xfId="0" applyNumberFormat="1" applyFont="1" applyBorder="1" applyAlignment="1">
      <alignment horizontal="center" vertical="center"/>
    </xf>
    <xf numFmtId="2" fontId="0" fillId="11" borderId="0" xfId="0" applyNumberFormat="1" applyFill="1" applyAlignment="1">
      <alignment horizontal="center"/>
    </xf>
    <xf numFmtId="164" fontId="0" fillId="11" borderId="0" xfId="0" applyNumberFormat="1" applyFill="1" applyAlignment="1">
      <alignment horizontal="center"/>
    </xf>
    <xf numFmtId="2" fontId="0" fillId="6" borderId="0" xfId="0" applyNumberFormat="1" applyFill="1" applyAlignment="1">
      <alignment horizontal="center"/>
    </xf>
    <xf numFmtId="164" fontId="0" fillId="6" borderId="0" xfId="0" applyNumberFormat="1" applyFill="1" applyAlignment="1">
      <alignment horizontal="center"/>
    </xf>
    <xf numFmtId="0" fontId="34" fillId="0" borderId="1" xfId="0" applyFont="1" applyBorder="1"/>
    <xf numFmtId="0" fontId="34" fillId="0" borderId="1" xfId="0" applyFont="1" applyBorder="1" applyAlignment="1">
      <alignment horizontal="center"/>
    </xf>
    <xf numFmtId="164" fontId="14" fillId="11" borderId="0" xfId="4" applyNumberFormat="1" applyFont="1" applyFill="1" applyBorder="1" applyAlignment="1">
      <alignment horizontal="center"/>
    </xf>
    <xf numFmtId="1" fontId="0" fillId="12" borderId="0" xfId="0" applyNumberFormat="1" applyFont="1" applyFill="1" applyBorder="1"/>
    <xf numFmtId="2" fontId="0" fillId="12" borderId="0" xfId="0" applyNumberFormat="1" applyFont="1" applyFill="1" applyBorder="1" applyAlignment="1">
      <alignment horizontal="center"/>
    </xf>
    <xf numFmtId="164" fontId="0" fillId="12" borderId="0" xfId="0" applyNumberFormat="1" applyFont="1" applyFill="1" applyBorder="1"/>
    <xf numFmtId="0" fontId="38" fillId="0" borderId="15" xfId="8" applyFont="1" applyBorder="1" applyAlignment="1">
      <alignment horizontal="center" wrapText="1"/>
    </xf>
    <xf numFmtId="2" fontId="38" fillId="0" borderId="15" xfId="8" applyNumberFormat="1" applyFont="1" applyBorder="1" applyAlignment="1">
      <alignment horizontal="center" wrapText="1"/>
    </xf>
    <xf numFmtId="2" fontId="38" fillId="0" borderId="0" xfId="8" applyNumberFormat="1" applyFont="1" applyAlignment="1">
      <alignment horizontal="center"/>
    </xf>
    <xf numFmtId="0" fontId="38" fillId="0" borderId="0" xfId="8" applyFont="1" applyAlignment="1">
      <alignment horizontal="left"/>
    </xf>
    <xf numFmtId="0" fontId="38" fillId="0" borderId="0" xfId="8" applyFont="1" applyFill="1" applyBorder="1" applyAlignment="1">
      <alignment horizontal="center"/>
    </xf>
    <xf numFmtId="0" fontId="39" fillId="0" borderId="0" xfId="8" applyFont="1" applyAlignment="1">
      <alignment horizontal="center"/>
    </xf>
    <xf numFmtId="0" fontId="38" fillId="0" borderId="15" xfId="8" applyFont="1" applyFill="1" applyBorder="1" applyAlignment="1">
      <alignment horizontal="center"/>
    </xf>
    <xf numFmtId="0" fontId="39" fillId="0" borderId="15" xfId="8" applyFont="1" applyFill="1" applyBorder="1" applyAlignment="1">
      <alignment horizontal="center"/>
    </xf>
    <xf numFmtId="2" fontId="38" fillId="0" borderId="15" xfId="8" applyNumberFormat="1" applyFont="1" applyBorder="1" applyAlignment="1">
      <alignment horizontal="center"/>
    </xf>
    <xf numFmtId="2" fontId="39" fillId="0" borderId="15" xfId="8" applyNumberFormat="1" applyFont="1" applyBorder="1" applyAlignment="1">
      <alignment horizontal="center"/>
    </xf>
    <xf numFmtId="0" fontId="39" fillId="0" borderId="15" xfId="8" applyFont="1" applyBorder="1" applyAlignment="1">
      <alignment horizontal="center"/>
    </xf>
    <xf numFmtId="0" fontId="38" fillId="0" borderId="15" xfId="8" applyFont="1" applyBorder="1" applyAlignment="1">
      <alignment horizontal="center"/>
    </xf>
    <xf numFmtId="11" fontId="39" fillId="0" borderId="15" xfId="8" applyNumberFormat="1" applyFont="1" applyBorder="1" applyAlignment="1">
      <alignment horizontal="center"/>
    </xf>
    <xf numFmtId="2" fontId="39" fillId="0" borderId="15" xfId="8" applyNumberFormat="1" applyFont="1" applyFill="1" applyBorder="1" applyAlignment="1">
      <alignment horizontal="center"/>
    </xf>
    <xf numFmtId="164" fontId="39" fillId="0" borderId="15" xfId="8" applyNumberFormat="1" applyFont="1" applyFill="1" applyBorder="1" applyAlignment="1">
      <alignment horizontal="center"/>
    </xf>
    <xf numFmtId="0" fontId="40" fillId="0" borderId="15" xfId="8" applyFont="1" applyBorder="1" applyAlignment="1">
      <alignment horizontal="center"/>
    </xf>
    <xf numFmtId="2" fontId="40" fillId="0" borderId="15" xfId="8" applyNumberFormat="1" applyFont="1" applyFill="1" applyBorder="1" applyAlignment="1">
      <alignment horizontal="center"/>
    </xf>
    <xf numFmtId="0" fontId="34" fillId="0" borderId="0" xfId="0" applyFont="1"/>
    <xf numFmtId="0" fontId="31" fillId="0" borderId="0" xfId="0" applyFont="1"/>
    <xf numFmtId="0" fontId="30" fillId="0" borderId="0" xfId="0" applyFont="1"/>
    <xf numFmtId="2" fontId="30" fillId="0" borderId="0" xfId="0" applyNumberFormat="1" applyFont="1" applyAlignment="1">
      <alignment horizontal="center"/>
    </xf>
    <xf numFmtId="0" fontId="30" fillId="0" borderId="0" xfId="0" applyFont="1" applyFill="1" applyAlignment="1">
      <alignment horizontal="center"/>
    </xf>
    <xf numFmtId="0" fontId="34" fillId="0" borderId="0" xfId="0" applyFont="1" applyFill="1" applyAlignment="1">
      <alignment horizontal="center"/>
    </xf>
    <xf numFmtId="0" fontId="30" fillId="0" borderId="0" xfId="0" applyFont="1" applyAlignment="1">
      <alignment horizontal="left"/>
    </xf>
    <xf numFmtId="0" fontId="30" fillId="0" borderId="0" xfId="0" applyFont="1" applyFill="1"/>
    <xf numFmtId="0" fontId="30" fillId="0" borderId="0" xfId="0" applyFont="1" applyBorder="1" applyAlignment="1">
      <alignment vertical="top" wrapText="1"/>
    </xf>
    <xf numFmtId="0" fontId="30" fillId="0" borderId="0" xfId="0" applyFont="1" applyAlignment="1"/>
    <xf numFmtId="0" fontId="34" fillId="0" borderId="25" xfId="0" applyFont="1" applyFill="1" applyBorder="1"/>
    <xf numFmtId="0" fontId="32" fillId="0" borderId="26" xfId="0" applyFont="1" applyFill="1" applyBorder="1"/>
    <xf numFmtId="0" fontId="34" fillId="0" borderId="26" xfId="0" applyFont="1" applyFill="1" applyBorder="1" applyAlignment="1">
      <alignment wrapText="1"/>
    </xf>
    <xf numFmtId="2" fontId="34" fillId="0" borderId="25" xfId="0" applyNumberFormat="1" applyFont="1" applyFill="1" applyBorder="1" applyAlignment="1">
      <alignment horizontal="center"/>
    </xf>
    <xf numFmtId="2" fontId="34" fillId="0" borderId="27" xfId="0" applyNumberFormat="1" applyFont="1" applyFill="1" applyBorder="1" applyAlignment="1">
      <alignment horizontal="center"/>
    </xf>
    <xf numFmtId="0" fontId="34" fillId="0" borderId="24" xfId="0" applyFont="1" applyFill="1" applyBorder="1" applyAlignment="1">
      <alignment horizontal="left"/>
    </xf>
    <xf numFmtId="0" fontId="34" fillId="0" borderId="27" xfId="0" applyFont="1" applyFill="1" applyBorder="1" applyAlignment="1">
      <alignment horizontal="left"/>
    </xf>
    <xf numFmtId="0" fontId="32" fillId="0" borderId="27" xfId="0" applyFont="1" applyFill="1" applyBorder="1"/>
    <xf numFmtId="0" fontId="34" fillId="0" borderId="24" xfId="0" applyFont="1" applyFill="1" applyBorder="1" applyAlignment="1">
      <alignment horizontal="center"/>
    </xf>
    <xf numFmtId="0" fontId="34" fillId="0" borderId="26" xfId="0" applyFont="1" applyFill="1" applyBorder="1"/>
    <xf numFmtId="0" fontId="34" fillId="0" borderId="6" xfId="0" applyFont="1" applyFill="1" applyBorder="1"/>
    <xf numFmtId="0" fontId="32" fillId="0" borderId="8" xfId="0" applyFont="1" applyFill="1" applyBorder="1"/>
    <xf numFmtId="0" fontId="34" fillId="0" borderId="8" xfId="0" applyFont="1" applyFill="1" applyBorder="1"/>
    <xf numFmtId="2" fontId="34" fillId="0" borderId="6" xfId="0" applyNumberFormat="1" applyFont="1" applyFill="1" applyBorder="1" applyAlignment="1">
      <alignment horizontal="center"/>
    </xf>
    <xf numFmtId="2" fontId="34" fillId="0" borderId="7" xfId="0" applyNumberFormat="1" applyFont="1" applyFill="1" applyBorder="1" applyAlignment="1">
      <alignment horizontal="center"/>
    </xf>
    <xf numFmtId="0" fontId="42" fillId="0" borderId="7" xfId="0" applyFont="1" applyFill="1" applyBorder="1" applyAlignment="1">
      <alignment horizontal="center"/>
    </xf>
    <xf numFmtId="0" fontId="34" fillId="0" borderId="7" xfId="0" applyFont="1" applyFill="1" applyBorder="1" applyAlignment="1">
      <alignment horizontal="center"/>
    </xf>
    <xf numFmtId="0" fontId="34" fillId="0" borderId="10" xfId="0" applyFont="1" applyFill="1" applyBorder="1" applyAlignment="1">
      <alignment horizontal="left"/>
    </xf>
    <xf numFmtId="0" fontId="34" fillId="0" borderId="7" xfId="0" applyFont="1" applyFill="1" applyBorder="1" applyAlignment="1">
      <alignment horizontal="left"/>
    </xf>
    <xf numFmtId="0" fontId="32" fillId="0" borderId="7" xfId="0" applyFont="1" applyFill="1" applyBorder="1"/>
    <xf numFmtId="0" fontId="34" fillId="0" borderId="10" xfId="0" applyFont="1" applyFill="1" applyBorder="1" applyAlignment="1">
      <alignment horizontal="center"/>
    </xf>
    <xf numFmtId="0" fontId="30" fillId="0" borderId="0" xfId="0" applyFont="1" applyBorder="1"/>
    <xf numFmtId="0" fontId="30" fillId="0" borderId="1" xfId="0" applyFont="1" applyBorder="1" applyAlignment="1">
      <alignment vertical="center"/>
    </xf>
    <xf numFmtId="0" fontId="31" fillId="0" borderId="3" xfId="0" applyFont="1" applyBorder="1" applyAlignment="1">
      <alignment vertical="center"/>
    </xf>
    <xf numFmtId="0" fontId="30" fillId="0" borderId="1" xfId="0" applyFont="1" applyFill="1" applyBorder="1" applyAlignment="1">
      <alignment vertical="center"/>
    </xf>
    <xf numFmtId="0" fontId="30" fillId="0" borderId="3" xfId="0" applyFont="1" applyFill="1" applyBorder="1" applyAlignment="1">
      <alignment vertical="center"/>
    </xf>
    <xf numFmtId="2" fontId="30" fillId="0" borderId="1" xfId="0" applyNumberFormat="1" applyFont="1" applyBorder="1" applyAlignment="1">
      <alignment horizontal="center" vertical="center"/>
    </xf>
    <xf numFmtId="2" fontId="30" fillId="0" borderId="2" xfId="0" applyNumberFormat="1" applyFont="1" applyBorder="1" applyAlignment="1">
      <alignment horizontal="center" vertical="center"/>
    </xf>
    <xf numFmtId="0" fontId="31" fillId="0" borderId="2" xfId="0" applyFont="1" applyBorder="1" applyAlignment="1">
      <alignment vertical="center"/>
    </xf>
    <xf numFmtId="0" fontId="30" fillId="0" borderId="9" xfId="0" applyFont="1" applyBorder="1" applyAlignment="1">
      <alignment horizontal="left" vertical="center"/>
    </xf>
    <xf numFmtId="0" fontId="30" fillId="0" borderId="3" xfId="0" applyFont="1" applyFill="1" applyBorder="1"/>
    <xf numFmtId="0" fontId="30" fillId="0" borderId="4" xfId="0" applyFont="1" applyBorder="1" applyAlignment="1">
      <alignment vertical="center"/>
    </xf>
    <xf numFmtId="0" fontId="31" fillId="0" borderId="5" xfId="0" applyFont="1" applyBorder="1" applyAlignment="1">
      <alignment vertical="center"/>
    </xf>
    <xf numFmtId="0" fontId="30" fillId="0" borderId="4" xfId="0" applyFont="1" applyFill="1" applyBorder="1" applyAlignment="1">
      <alignment vertical="center"/>
    </xf>
    <xf numFmtId="0" fontId="30" fillId="0" borderId="5" xfId="0" applyFont="1" applyFill="1" applyBorder="1" applyAlignment="1">
      <alignment vertical="center"/>
    </xf>
    <xf numFmtId="2" fontId="30" fillId="0" borderId="4" xfId="0" applyNumberFormat="1" applyFont="1" applyBorder="1" applyAlignment="1">
      <alignment horizontal="center" vertical="center"/>
    </xf>
    <xf numFmtId="2" fontId="30" fillId="0" borderId="0" xfId="0" applyNumberFormat="1" applyFont="1" applyBorder="1" applyAlignment="1">
      <alignment horizontal="center" vertical="center"/>
    </xf>
    <xf numFmtId="164" fontId="30" fillId="0" borderId="0" xfId="0" applyNumberFormat="1" applyFont="1" applyFill="1" applyBorder="1" applyAlignment="1">
      <alignment horizontal="center" vertical="center"/>
    </xf>
    <xf numFmtId="164" fontId="34" fillId="0" borderId="0" xfId="0" applyNumberFormat="1" applyFont="1" applyFill="1" applyBorder="1" applyAlignment="1">
      <alignment horizontal="center" vertical="center"/>
    </xf>
    <xf numFmtId="164" fontId="30" fillId="0" borderId="11" xfId="0" applyNumberFormat="1" applyFont="1" applyFill="1" applyBorder="1" applyAlignment="1">
      <alignment horizontal="left" vertical="center"/>
    </xf>
    <xf numFmtId="164" fontId="30" fillId="0" borderId="0" xfId="0" applyNumberFormat="1" applyFont="1" applyFill="1" applyBorder="1" applyAlignment="1">
      <alignment horizontal="left" vertical="center"/>
    </xf>
    <xf numFmtId="0" fontId="31" fillId="0" borderId="0" xfId="0" applyFont="1" applyBorder="1" applyAlignment="1">
      <alignment vertical="center"/>
    </xf>
    <xf numFmtId="164" fontId="30" fillId="0" borderId="11" xfId="0" applyNumberFormat="1" applyFont="1" applyFill="1" applyBorder="1" applyAlignment="1">
      <alignment vertical="center"/>
    </xf>
    <xf numFmtId="0" fontId="30" fillId="0" borderId="11" xfId="0" applyFont="1" applyBorder="1" applyAlignment="1">
      <alignment horizontal="left" vertical="center"/>
    </xf>
    <xf numFmtId="0" fontId="30" fillId="0" borderId="5" xfId="0" applyFont="1" applyFill="1" applyBorder="1"/>
    <xf numFmtId="164" fontId="30" fillId="0" borderId="0" xfId="0" applyNumberFormat="1" applyFont="1" applyBorder="1" applyAlignment="1">
      <alignment horizontal="left" vertical="center"/>
    </xf>
    <xf numFmtId="164" fontId="30" fillId="0" borderId="11" xfId="0" applyNumberFormat="1" applyFont="1" applyBorder="1" applyAlignment="1">
      <alignment vertical="center"/>
    </xf>
    <xf numFmtId="0" fontId="30" fillId="0" borderId="11" xfId="0" applyFont="1" applyFill="1" applyBorder="1" applyAlignment="1">
      <alignment horizontal="left" vertical="center"/>
    </xf>
    <xf numFmtId="0" fontId="30" fillId="0" borderId="0" xfId="0" applyFont="1" applyFill="1" applyBorder="1" applyAlignment="1">
      <alignment horizontal="left" vertical="center"/>
    </xf>
    <xf numFmtId="0" fontId="30" fillId="0" borderId="11" xfId="0" applyFont="1" applyFill="1" applyBorder="1" applyAlignment="1">
      <alignment vertical="center"/>
    </xf>
    <xf numFmtId="0" fontId="30" fillId="0" borderId="0" xfId="0" applyFont="1" applyBorder="1" applyAlignment="1">
      <alignment vertical="center"/>
    </xf>
    <xf numFmtId="0" fontId="43" fillId="0" borderId="5" xfId="1" applyFont="1" applyFill="1" applyBorder="1" applyAlignment="1">
      <alignment vertical="center"/>
    </xf>
    <xf numFmtId="2" fontId="30" fillId="0" borderId="0" xfId="0" applyNumberFormat="1" applyFont="1" applyFill="1" applyBorder="1" applyAlignment="1">
      <alignment horizontal="center" vertical="center"/>
    </xf>
    <xf numFmtId="2" fontId="34" fillId="0" borderId="0" xfId="0" applyNumberFormat="1" applyFont="1" applyFill="1" applyBorder="1" applyAlignment="1">
      <alignment horizontal="center" vertical="center"/>
    </xf>
    <xf numFmtId="0" fontId="31" fillId="0" borderId="5" xfId="0" applyFont="1" applyFill="1" applyBorder="1" applyAlignment="1">
      <alignment vertical="center"/>
    </xf>
    <xf numFmtId="164" fontId="31" fillId="0" borderId="11" xfId="0" applyNumberFormat="1" applyFont="1" applyBorder="1" applyAlignment="1">
      <alignment vertical="center"/>
    </xf>
    <xf numFmtId="0" fontId="44" fillId="0" borderId="5" xfId="1" applyFont="1" applyFill="1" applyBorder="1" applyAlignment="1">
      <alignment vertical="center"/>
    </xf>
    <xf numFmtId="0" fontId="30" fillId="0" borderId="0" xfId="0" applyFont="1" applyFill="1" applyBorder="1"/>
    <xf numFmtId="0" fontId="45" fillId="0" borderId="0" xfId="0" applyFont="1" applyBorder="1"/>
    <xf numFmtId="0" fontId="30" fillId="0" borderId="5" xfId="0" applyFont="1" applyBorder="1" applyAlignment="1">
      <alignment vertical="center"/>
    </xf>
    <xf numFmtId="2" fontId="30" fillId="0" borderId="4" xfId="0" applyNumberFormat="1" applyFont="1" applyFill="1" applyBorder="1" applyAlignment="1">
      <alignment horizontal="center" vertical="center"/>
    </xf>
    <xf numFmtId="0" fontId="30" fillId="0" borderId="0" xfId="0" applyFont="1" applyFill="1" applyBorder="1" applyAlignment="1">
      <alignment horizontal="center" vertical="center"/>
    </xf>
    <xf numFmtId="0" fontId="30" fillId="0" borderId="0" xfId="0" applyFont="1" applyBorder="1" applyAlignment="1">
      <alignment horizontal="left" vertical="center"/>
    </xf>
    <xf numFmtId="0" fontId="30" fillId="0" borderId="11" xfId="0" applyFont="1" applyBorder="1" applyAlignment="1">
      <alignment vertical="center"/>
    </xf>
    <xf numFmtId="0" fontId="34" fillId="0" borderId="0" xfId="0" applyFont="1" applyFill="1" applyBorder="1" applyAlignment="1">
      <alignment horizontal="center" vertical="center"/>
    </xf>
    <xf numFmtId="0" fontId="30" fillId="0" borderId="0" xfId="0" applyFont="1" applyFill="1" applyBorder="1" applyAlignment="1">
      <alignment vertical="center"/>
    </xf>
    <xf numFmtId="0" fontId="30" fillId="0" borderId="23" xfId="0" applyFont="1" applyFill="1" applyBorder="1" applyAlignment="1">
      <alignment vertical="center"/>
    </xf>
    <xf numFmtId="0" fontId="30" fillId="2" borderId="0" xfId="0" applyNumberFormat="1" applyFont="1" applyFill="1" applyBorder="1" applyAlignment="1">
      <alignment horizontal="center" vertical="center"/>
    </xf>
    <xf numFmtId="0" fontId="34" fillId="2" borderId="0" xfId="0" applyNumberFormat="1" applyFont="1" applyFill="1" applyBorder="1" applyAlignment="1">
      <alignment horizontal="center" vertical="center"/>
    </xf>
    <xf numFmtId="0" fontId="45" fillId="0" borderId="5" xfId="0" applyFont="1" applyFill="1" applyBorder="1"/>
    <xf numFmtId="2" fontId="31" fillId="0" borderId="4" xfId="0" applyNumberFormat="1" applyFont="1" applyFill="1" applyBorder="1" applyAlignment="1">
      <alignment horizontal="center" vertical="center"/>
    </xf>
    <xf numFmtId="2" fontId="31" fillId="0" borderId="0" xfId="0" applyNumberFormat="1" applyFont="1" applyFill="1" applyBorder="1" applyAlignment="1">
      <alignment horizontal="center" vertical="center"/>
    </xf>
    <xf numFmtId="0" fontId="31" fillId="0" borderId="0" xfId="0" applyFont="1" applyFill="1" applyBorder="1" applyAlignment="1">
      <alignment vertical="center"/>
    </xf>
    <xf numFmtId="0" fontId="31" fillId="0" borderId="4" xfId="0" applyFont="1" applyFill="1" applyBorder="1" applyAlignment="1">
      <alignment vertical="center"/>
    </xf>
    <xf numFmtId="0" fontId="31" fillId="0" borderId="0" xfId="0" applyFont="1" applyFill="1" applyBorder="1" applyAlignment="1">
      <alignment horizontal="left" vertical="center"/>
    </xf>
    <xf numFmtId="0" fontId="31" fillId="0" borderId="0" xfId="0" applyFont="1" applyBorder="1"/>
    <xf numFmtId="0" fontId="31" fillId="0" borderId="11" xfId="0" applyFont="1" applyFill="1" applyBorder="1" applyAlignment="1">
      <alignment horizontal="left" vertical="center"/>
    </xf>
    <xf numFmtId="0" fontId="31" fillId="0" borderId="11" xfId="0" applyFont="1" applyFill="1" applyBorder="1" applyAlignment="1">
      <alignment vertical="center"/>
    </xf>
    <xf numFmtId="0" fontId="31" fillId="0" borderId="4" xfId="0" applyFont="1" applyBorder="1" applyAlignment="1">
      <alignment vertical="center"/>
    </xf>
    <xf numFmtId="2" fontId="31" fillId="0" borderId="4" xfId="0" applyNumberFormat="1" applyFont="1" applyBorder="1" applyAlignment="1">
      <alignment horizontal="center" vertical="center"/>
    </xf>
    <xf numFmtId="0" fontId="31" fillId="0" borderId="11" xfId="0" applyFont="1" applyBorder="1" applyAlignment="1">
      <alignment horizontal="left" vertical="center"/>
    </xf>
    <xf numFmtId="0" fontId="31" fillId="0" borderId="5" xfId="0" applyFont="1" applyFill="1" applyBorder="1"/>
    <xf numFmtId="0" fontId="30" fillId="0" borderId="29" xfId="0" applyFont="1" applyBorder="1" applyAlignment="1">
      <alignment vertical="center"/>
    </xf>
    <xf numFmtId="0" fontId="30" fillId="0" borderId="30" xfId="0" applyFont="1" applyFill="1" applyBorder="1" applyAlignment="1">
      <alignment vertical="center"/>
    </xf>
    <xf numFmtId="164" fontId="30" fillId="0" borderId="31" xfId="0" applyNumberFormat="1" applyFont="1" applyFill="1" applyBorder="1" applyAlignment="1">
      <alignment horizontal="center" vertical="center"/>
    </xf>
    <xf numFmtId="164" fontId="30" fillId="0" borderId="28" xfId="0" applyNumberFormat="1" applyFont="1" applyFill="1" applyBorder="1" applyAlignment="1">
      <alignment vertical="center"/>
    </xf>
    <xf numFmtId="0" fontId="30" fillId="0" borderId="28" xfId="0" applyFont="1" applyBorder="1" applyAlignment="1">
      <alignment horizontal="left" vertical="center"/>
    </xf>
    <xf numFmtId="0" fontId="30" fillId="0" borderId="30" xfId="0" applyFont="1" applyFill="1" applyBorder="1"/>
    <xf numFmtId="164" fontId="30" fillId="0" borderId="5" xfId="0" applyNumberFormat="1" applyFont="1" applyFill="1" applyBorder="1" applyAlignment="1">
      <alignment horizontal="center" vertical="center"/>
    </xf>
    <xf numFmtId="164" fontId="30" fillId="2" borderId="0" xfId="0" applyNumberFormat="1" applyFont="1" applyFill="1" applyBorder="1" applyAlignment="1">
      <alignment horizontal="center" vertical="center"/>
    </xf>
    <xf numFmtId="164" fontId="34" fillId="2" borderId="0" xfId="0" applyNumberFormat="1" applyFont="1" applyFill="1" applyBorder="1" applyAlignment="1">
      <alignment horizontal="center" vertical="center"/>
    </xf>
    <xf numFmtId="0" fontId="47" fillId="0" borderId="5" xfId="1" applyFont="1" applyFill="1" applyBorder="1" applyAlignment="1">
      <alignment vertical="center"/>
    </xf>
    <xf numFmtId="2" fontId="30" fillId="13" borderId="4" xfId="0" applyNumberFormat="1" applyFont="1" applyFill="1" applyBorder="1" applyAlignment="1">
      <alignment horizontal="center" vertical="center"/>
    </xf>
    <xf numFmtId="2" fontId="30" fillId="13" borderId="0" xfId="0" applyNumberFormat="1" applyFont="1" applyFill="1" applyBorder="1" applyAlignment="1">
      <alignment horizontal="center" vertical="center"/>
    </xf>
    <xf numFmtId="0" fontId="30" fillId="14" borderId="4" xfId="0" applyFont="1" applyFill="1" applyBorder="1" applyAlignment="1">
      <alignment vertical="center"/>
    </xf>
    <xf numFmtId="0" fontId="31" fillId="14" borderId="5" xfId="0" applyFont="1" applyFill="1" applyBorder="1" applyAlignment="1">
      <alignment vertical="center"/>
    </xf>
    <xf numFmtId="0" fontId="30" fillId="14" borderId="5" xfId="0" applyFont="1" applyFill="1" applyBorder="1" applyAlignment="1">
      <alignment vertical="center"/>
    </xf>
    <xf numFmtId="2" fontId="30" fillId="14" borderId="4" xfId="0" applyNumberFormat="1" applyFont="1" applyFill="1" applyBorder="1" applyAlignment="1">
      <alignment horizontal="center" vertical="center"/>
    </xf>
    <xf numFmtId="2" fontId="30" fillId="14" borderId="0" xfId="0" applyNumberFormat="1" applyFont="1" applyFill="1" applyBorder="1" applyAlignment="1">
      <alignment horizontal="center" vertical="center"/>
    </xf>
    <xf numFmtId="164" fontId="30" fillId="14" borderId="0" xfId="0" applyNumberFormat="1" applyFont="1" applyFill="1" applyBorder="1" applyAlignment="1">
      <alignment horizontal="center" vertical="center"/>
    </xf>
    <xf numFmtId="164" fontId="34" fillId="14" borderId="0" xfId="0" applyNumberFormat="1" applyFont="1" applyFill="1" applyBorder="1" applyAlignment="1">
      <alignment horizontal="center" vertical="center"/>
    </xf>
    <xf numFmtId="0" fontId="31" fillId="14" borderId="0" xfId="0" applyFont="1" applyFill="1" applyBorder="1" applyAlignment="1">
      <alignment horizontal="left" vertical="center"/>
    </xf>
    <xf numFmtId="0" fontId="31" fillId="14" borderId="0" xfId="0" applyFont="1" applyFill="1" applyBorder="1" applyAlignment="1">
      <alignment vertical="center"/>
    </xf>
    <xf numFmtId="164" fontId="30" fillId="14" borderId="11" xfId="0" applyNumberFormat="1" applyFont="1" applyFill="1" applyBorder="1" applyAlignment="1">
      <alignment vertical="center"/>
    </xf>
    <xf numFmtId="0" fontId="30" fillId="14" borderId="11" xfId="0" applyFont="1" applyFill="1" applyBorder="1" applyAlignment="1">
      <alignment horizontal="left" vertical="center"/>
    </xf>
    <xf numFmtId="0" fontId="30" fillId="14" borderId="5" xfId="0" applyFont="1" applyFill="1" applyBorder="1"/>
    <xf numFmtId="0" fontId="30" fillId="0" borderId="5" xfId="0" applyFont="1" applyFill="1" applyBorder="1" applyAlignment="1">
      <alignment wrapText="1"/>
    </xf>
    <xf numFmtId="164" fontId="30" fillId="0" borderId="11" xfId="0" applyNumberFormat="1" applyFont="1" applyFill="1" applyBorder="1" applyAlignment="1">
      <alignment vertical="center" wrapText="1"/>
    </xf>
    <xf numFmtId="0" fontId="31" fillId="0" borderId="0" xfId="0" applyFont="1" applyFill="1" applyBorder="1"/>
    <xf numFmtId="0" fontId="31" fillId="0" borderId="6" xfId="0" applyFont="1" applyBorder="1" applyAlignment="1">
      <alignment vertical="center"/>
    </xf>
    <xf numFmtId="0" fontId="31" fillId="0" borderId="8" xfId="0" applyFont="1" applyBorder="1" applyAlignment="1">
      <alignment vertical="center"/>
    </xf>
    <xf numFmtId="0" fontId="31" fillId="0" borderId="6" xfId="0" applyFont="1" applyFill="1" applyBorder="1" applyAlignment="1">
      <alignment vertical="center"/>
    </xf>
    <xf numFmtId="0" fontId="31" fillId="0" borderId="8" xfId="0" applyFont="1" applyFill="1" applyBorder="1" applyAlignment="1">
      <alignment vertical="center"/>
    </xf>
    <xf numFmtId="2" fontId="31" fillId="0" borderId="6" xfId="0" applyNumberFormat="1" applyFont="1" applyBorder="1" applyAlignment="1">
      <alignment horizontal="center" vertical="center"/>
    </xf>
    <xf numFmtId="2" fontId="31" fillId="0" borderId="7" xfId="0" applyNumberFormat="1" applyFont="1" applyFill="1" applyBorder="1" applyAlignment="1">
      <alignment horizontal="center" vertical="center"/>
    </xf>
    <xf numFmtId="0" fontId="30" fillId="0" borderId="7" xfId="0" applyFont="1" applyFill="1" applyBorder="1" applyAlignment="1">
      <alignment horizontal="center" vertical="center"/>
    </xf>
    <xf numFmtId="164" fontId="30" fillId="0" borderId="7" xfId="0" applyNumberFormat="1" applyFont="1" applyFill="1" applyBorder="1" applyAlignment="1">
      <alignment horizontal="center" vertical="center"/>
    </xf>
    <xf numFmtId="0" fontId="34" fillId="0" borderId="7" xfId="0" applyFont="1" applyFill="1" applyBorder="1" applyAlignment="1">
      <alignment horizontal="center" vertical="center"/>
    </xf>
    <xf numFmtId="0" fontId="31" fillId="0" borderId="10" xfId="0" applyFont="1" applyBorder="1" applyAlignment="1">
      <alignment horizontal="left" vertical="center"/>
    </xf>
    <xf numFmtId="0" fontId="31" fillId="0" borderId="7" xfId="0" applyFont="1" applyFill="1" applyBorder="1" applyAlignment="1">
      <alignment horizontal="left" vertical="center"/>
    </xf>
    <xf numFmtId="0" fontId="31" fillId="0" borderId="7" xfId="0" applyFont="1" applyBorder="1" applyAlignment="1">
      <alignment vertical="center"/>
    </xf>
    <xf numFmtId="0" fontId="31" fillId="0" borderId="10" xfId="0" applyFont="1" applyBorder="1" applyAlignment="1">
      <alignment vertical="center"/>
    </xf>
    <xf numFmtId="0" fontId="31" fillId="0" borderId="8" xfId="0" applyFont="1" applyFill="1" applyBorder="1"/>
    <xf numFmtId="164" fontId="30" fillId="0" borderId="0" xfId="0" applyNumberFormat="1" applyFont="1" applyFill="1" applyAlignment="1">
      <alignment horizontal="center"/>
    </xf>
    <xf numFmtId="164" fontId="34" fillId="0" borderId="0" xfId="0" applyNumberFormat="1" applyFont="1" applyFill="1" applyAlignment="1">
      <alignment horizontal="center"/>
    </xf>
    <xf numFmtId="164" fontId="30" fillId="0" borderId="0" xfId="0" applyNumberFormat="1" applyFont="1" applyFill="1" applyAlignment="1">
      <alignment horizontal="left"/>
    </xf>
    <xf numFmtId="0" fontId="46" fillId="0" borderId="0" xfId="0" applyFont="1"/>
    <xf numFmtId="2" fontId="31" fillId="0" borderId="29" xfId="0" applyNumberFormat="1" applyFont="1" applyBorder="1" applyAlignment="1">
      <alignment horizontal="center" vertical="center"/>
    </xf>
    <xf numFmtId="2" fontId="31" fillId="0" borderId="31" xfId="0" applyNumberFormat="1" applyFont="1" applyBorder="1" applyAlignment="1">
      <alignment horizontal="center" vertical="center"/>
    </xf>
    <xf numFmtId="0" fontId="30" fillId="0" borderId="31" xfId="0" applyFont="1" applyFill="1" applyBorder="1" applyAlignment="1">
      <alignment horizontal="center" vertical="center"/>
    </xf>
    <xf numFmtId="0" fontId="31" fillId="0" borderId="31" xfId="0" applyFont="1" applyBorder="1" applyAlignment="1">
      <alignment vertical="center"/>
    </xf>
    <xf numFmtId="164" fontId="30" fillId="0" borderId="31" xfId="0" applyNumberFormat="1" applyFont="1" applyFill="1" applyBorder="1" applyAlignment="1">
      <alignment horizontal="left" vertical="center"/>
    </xf>
    <xf numFmtId="1" fontId="30" fillId="0" borderId="0" xfId="0" applyNumberFormat="1" applyFont="1" applyAlignment="1">
      <alignment horizontal="center"/>
    </xf>
    <xf numFmtId="1" fontId="30" fillId="0" borderId="0" xfId="0" applyNumberFormat="1" applyFont="1" applyBorder="1" applyAlignment="1">
      <alignment horizontal="center" vertical="top" wrapText="1"/>
    </xf>
    <xf numFmtId="0" fontId="30" fillId="0" borderId="0" xfId="0" applyNumberFormat="1" applyFont="1" applyFill="1" applyBorder="1" applyAlignment="1">
      <alignment horizontal="center" vertical="center"/>
    </xf>
    <xf numFmtId="0" fontId="34" fillId="0" borderId="0" xfId="0" applyNumberFormat="1" applyFont="1" applyFill="1" applyBorder="1" applyAlignment="1">
      <alignment horizontal="center" vertical="center"/>
    </xf>
    <xf numFmtId="0" fontId="31" fillId="0" borderId="33" xfId="0" applyFont="1" applyFill="1" applyBorder="1" applyAlignment="1">
      <alignment vertical="center"/>
    </xf>
    <xf numFmtId="0" fontId="31" fillId="0" borderId="34" xfId="0" applyFont="1" applyFill="1" applyBorder="1" applyAlignment="1">
      <alignment vertical="center"/>
    </xf>
    <xf numFmtId="0" fontId="30" fillId="0" borderId="35" xfId="0" applyFont="1" applyFill="1" applyBorder="1" applyAlignment="1">
      <alignment horizontal="center" vertical="center"/>
    </xf>
    <xf numFmtId="164" fontId="30" fillId="0" borderId="35" xfId="0" applyNumberFormat="1" applyFont="1" applyFill="1" applyBorder="1" applyAlignment="1">
      <alignment horizontal="center" vertical="center"/>
    </xf>
    <xf numFmtId="0" fontId="34" fillId="0" borderId="35" xfId="0" applyFont="1" applyFill="1" applyBorder="1" applyAlignment="1">
      <alignment horizontal="center" vertical="center"/>
    </xf>
    <xf numFmtId="0" fontId="31" fillId="0" borderId="32" xfId="0" applyFont="1" applyFill="1" applyBorder="1" applyAlignment="1">
      <alignment horizontal="left" vertical="center"/>
    </xf>
    <xf numFmtId="0" fontId="31" fillId="0" borderId="35" xfId="0" applyFont="1" applyFill="1" applyBorder="1" applyAlignment="1">
      <alignment horizontal="left" vertical="center"/>
    </xf>
    <xf numFmtId="0" fontId="31" fillId="0" borderId="32" xfId="0" applyFont="1" applyFill="1" applyBorder="1" applyAlignment="1">
      <alignment vertical="center"/>
    </xf>
    <xf numFmtId="0" fontId="31" fillId="0" borderId="34" xfId="0" applyFont="1" applyFill="1" applyBorder="1"/>
    <xf numFmtId="2" fontId="31" fillId="0" borderId="33" xfId="0" applyNumberFormat="1" applyFont="1" applyFill="1" applyBorder="1" applyAlignment="1">
      <alignment horizontal="center" vertical="center"/>
    </xf>
    <xf numFmtId="2" fontId="31" fillId="0" borderId="35" xfId="0" applyNumberFormat="1" applyFont="1" applyFill="1" applyBorder="1" applyAlignment="1">
      <alignment horizontal="center" vertical="center"/>
    </xf>
    <xf numFmtId="2" fontId="30" fillId="0" borderId="33" xfId="0" applyNumberFormat="1" applyFont="1" applyFill="1" applyBorder="1" applyAlignment="1">
      <alignment horizontal="center" vertical="center"/>
    </xf>
    <xf numFmtId="2" fontId="30" fillId="0" borderId="35" xfId="0" applyNumberFormat="1" applyFont="1" applyFill="1" applyBorder="1" applyAlignment="1">
      <alignment horizontal="center" vertical="center"/>
    </xf>
    <xf numFmtId="2" fontId="34" fillId="0" borderId="35" xfId="0" applyNumberFormat="1" applyFont="1" applyFill="1" applyBorder="1" applyAlignment="1">
      <alignment horizontal="center" vertical="center"/>
    </xf>
    <xf numFmtId="164" fontId="30" fillId="0" borderId="34" xfId="0" applyNumberFormat="1" applyFont="1" applyFill="1" applyBorder="1" applyAlignment="1">
      <alignment horizontal="center" vertical="center"/>
    </xf>
    <xf numFmtId="0" fontId="31" fillId="0" borderId="35" xfId="0" applyFont="1" applyFill="1" applyBorder="1" applyAlignment="1">
      <alignment vertical="center"/>
    </xf>
    <xf numFmtId="0" fontId="31" fillId="0" borderId="30" xfId="0" applyFont="1" applyBorder="1" applyAlignment="1">
      <alignment vertical="center"/>
    </xf>
    <xf numFmtId="0" fontId="31" fillId="0" borderId="29" xfId="0" applyFont="1" applyBorder="1" applyAlignment="1">
      <alignment vertical="center"/>
    </xf>
    <xf numFmtId="164" fontId="34" fillId="0" borderId="31" xfId="0" applyNumberFormat="1" applyFont="1" applyFill="1" applyBorder="1" applyAlignment="1">
      <alignment horizontal="center" vertical="center"/>
    </xf>
    <xf numFmtId="164" fontId="30" fillId="0" borderId="30" xfId="0" applyNumberFormat="1" applyFont="1" applyFill="1" applyBorder="1" applyAlignment="1">
      <alignment horizontal="center" vertical="center"/>
    </xf>
    <xf numFmtId="0" fontId="30" fillId="0" borderId="33" xfId="0" applyFont="1" applyFill="1" applyBorder="1" applyAlignment="1">
      <alignment vertical="center"/>
    </xf>
    <xf numFmtId="0" fontId="30" fillId="0" borderId="34" xfId="0" applyFont="1" applyFill="1" applyBorder="1" applyAlignment="1">
      <alignment vertical="center"/>
    </xf>
    <xf numFmtId="0" fontId="30" fillId="0" borderId="35" xfId="0" applyNumberFormat="1" applyFont="1" applyFill="1" applyBorder="1" applyAlignment="1">
      <alignment horizontal="center" vertical="center"/>
    </xf>
    <xf numFmtId="0" fontId="34" fillId="0" borderId="35" xfId="0" applyNumberFormat="1" applyFont="1" applyFill="1" applyBorder="1" applyAlignment="1">
      <alignment horizontal="center" vertical="center"/>
    </xf>
    <xf numFmtId="0" fontId="30" fillId="0" borderId="35" xfId="0" applyFont="1" applyFill="1" applyBorder="1" applyAlignment="1">
      <alignment vertical="center"/>
    </xf>
    <xf numFmtId="164" fontId="30" fillId="0" borderId="32" xfId="0" applyNumberFormat="1" applyFont="1" applyFill="1" applyBorder="1" applyAlignment="1">
      <alignment vertical="center"/>
    </xf>
    <xf numFmtId="0" fontId="30" fillId="0" borderId="32" xfId="0" applyFont="1" applyFill="1" applyBorder="1" applyAlignment="1">
      <alignment horizontal="left" vertical="center"/>
    </xf>
    <xf numFmtId="0" fontId="30" fillId="0" borderId="34" xfId="0" applyFont="1" applyFill="1" applyBorder="1"/>
    <xf numFmtId="164" fontId="34" fillId="0" borderId="35" xfId="0" applyNumberFormat="1" applyFont="1" applyFill="1" applyBorder="1" applyAlignment="1">
      <alignment horizontal="center" vertical="center"/>
    </xf>
    <xf numFmtId="164" fontId="30" fillId="0" borderId="35" xfId="0" applyNumberFormat="1" applyFont="1" applyFill="1" applyBorder="1" applyAlignment="1">
      <alignment horizontal="left" vertical="center"/>
    </xf>
    <xf numFmtId="1" fontId="34" fillId="0" borderId="24" xfId="0" applyNumberFormat="1" applyFont="1" applyFill="1" applyBorder="1" applyAlignment="1">
      <alignment horizontal="center"/>
    </xf>
    <xf numFmtId="1" fontId="34" fillId="0" borderId="10" xfId="0" applyNumberFormat="1" applyFont="1" applyFill="1" applyBorder="1" applyAlignment="1">
      <alignment horizontal="center"/>
    </xf>
    <xf numFmtId="0" fontId="10" fillId="11" borderId="0" xfId="0" applyFont="1" applyFill="1" applyAlignment="1">
      <alignment horizontal="center"/>
    </xf>
    <xf numFmtId="164" fontId="0" fillId="4" borderId="0" xfId="0" applyNumberFormat="1" applyFill="1"/>
    <xf numFmtId="0" fontId="0" fillId="4" borderId="0" xfId="0" applyFill="1" applyAlignment="1">
      <alignment horizontal="center"/>
    </xf>
    <xf numFmtId="0" fontId="10" fillId="4" borderId="0" xfId="0" applyFont="1" applyFill="1" applyAlignment="1">
      <alignment horizontal="center"/>
    </xf>
    <xf numFmtId="0" fontId="14" fillId="0" borderId="15" xfId="11" applyBorder="1"/>
    <xf numFmtId="0" fontId="14" fillId="0" borderId="15" xfId="11" applyFont="1" applyFill="1" applyBorder="1" applyAlignment="1">
      <alignment horizontal="center"/>
    </xf>
    <xf numFmtId="164" fontId="14" fillId="0" borderId="15" xfId="11" applyNumberFormat="1" applyFill="1" applyBorder="1" applyAlignment="1">
      <alignment horizontal="center"/>
    </xf>
    <xf numFmtId="0" fontId="14" fillId="0" borderId="15" xfId="11" applyFill="1" applyBorder="1" applyAlignment="1">
      <alignment horizontal="center"/>
    </xf>
    <xf numFmtId="0" fontId="15" fillId="0" borderId="36" xfId="11" applyFont="1" applyBorder="1" applyAlignment="1">
      <alignment horizontal="center" textRotation="90" wrapText="1"/>
    </xf>
    <xf numFmtId="0" fontId="15" fillId="0" borderId="37" xfId="11" applyFont="1" applyBorder="1" applyAlignment="1">
      <alignment horizontal="center" textRotation="90" wrapText="1"/>
    </xf>
    <xf numFmtId="0" fontId="15" fillId="0" borderId="37" xfId="11" applyFont="1" applyFill="1" applyBorder="1" applyAlignment="1">
      <alignment horizontal="center" textRotation="90" wrapText="1"/>
    </xf>
    <xf numFmtId="0" fontId="15" fillId="0" borderId="38" xfId="11" applyFont="1" applyFill="1" applyBorder="1" applyAlignment="1">
      <alignment horizontal="center" textRotation="90" wrapText="1"/>
    </xf>
    <xf numFmtId="164" fontId="14" fillId="11" borderId="15" xfId="11" applyNumberFormat="1" applyFill="1" applyBorder="1" applyAlignment="1">
      <alignment horizontal="center"/>
    </xf>
    <xf numFmtId="0" fontId="22" fillId="11" borderId="0" xfId="5" applyFill="1" applyAlignment="1">
      <alignment horizontal="center"/>
    </xf>
    <xf numFmtId="1" fontId="34" fillId="0" borderId="7" xfId="0" applyNumberFormat="1" applyFont="1" applyFill="1" applyBorder="1" applyAlignment="1">
      <alignment horizontal="center"/>
    </xf>
    <xf numFmtId="1" fontId="30" fillId="0" borderId="0" xfId="0" applyNumberFormat="1" applyFont="1" applyFill="1" applyBorder="1" applyAlignment="1">
      <alignment horizontal="center" vertical="center"/>
    </xf>
    <xf numFmtId="1" fontId="30" fillId="0" borderId="35" xfId="0" applyNumberFormat="1" applyFont="1" applyFill="1" applyBorder="1" applyAlignment="1">
      <alignment horizontal="center" vertical="center"/>
    </xf>
    <xf numFmtId="1" fontId="30" fillId="0" borderId="31" xfId="0" applyNumberFormat="1" applyFont="1" applyFill="1" applyBorder="1" applyAlignment="1">
      <alignment horizontal="center" vertical="center"/>
    </xf>
    <xf numFmtId="1" fontId="30" fillId="14" borderId="0" xfId="0" applyNumberFormat="1" applyFont="1" applyFill="1" applyBorder="1" applyAlignment="1">
      <alignment horizontal="center" vertical="center"/>
    </xf>
    <xf numFmtId="1" fontId="30" fillId="0" borderId="0" xfId="0" applyNumberFormat="1" applyFont="1" applyBorder="1" applyAlignment="1">
      <alignment horizontal="center" vertical="center"/>
    </xf>
    <xf numFmtId="1" fontId="31" fillId="0" borderId="0" xfId="0" applyNumberFormat="1" applyFont="1" applyFill="1" applyBorder="1" applyAlignment="1">
      <alignment horizontal="center" vertical="center"/>
    </xf>
    <xf numFmtId="164" fontId="30" fillId="0" borderId="4" xfId="0" applyNumberFormat="1" applyFont="1" applyFill="1" applyBorder="1" applyAlignment="1">
      <alignment horizontal="left" vertical="center"/>
    </xf>
    <xf numFmtId="0" fontId="30" fillId="0" borderId="4" xfId="0" applyFont="1" applyBorder="1" applyAlignment="1">
      <alignment horizontal="left" vertical="center"/>
    </xf>
    <xf numFmtId="0" fontId="30" fillId="0" borderId="4" xfId="0" applyFont="1" applyFill="1" applyBorder="1" applyAlignment="1">
      <alignment horizontal="left" vertical="center"/>
    </xf>
    <xf numFmtId="0" fontId="31" fillId="0" borderId="4" xfId="0" applyFont="1" applyBorder="1" applyAlignment="1">
      <alignment horizontal="left" vertical="center"/>
    </xf>
    <xf numFmtId="164" fontId="30" fillId="0" borderId="4" xfId="0" applyNumberFormat="1" applyFont="1" applyBorder="1" applyAlignment="1">
      <alignment horizontal="left" vertical="center"/>
    </xf>
    <xf numFmtId="0" fontId="31" fillId="0" borderId="4" xfId="0" applyFont="1" applyFill="1" applyBorder="1" applyAlignment="1">
      <alignment horizontal="left" vertical="center"/>
    </xf>
    <xf numFmtId="164" fontId="30" fillId="0" borderId="33" xfId="0" applyNumberFormat="1" applyFont="1" applyFill="1" applyBorder="1" applyAlignment="1">
      <alignment horizontal="right" vertical="center"/>
    </xf>
    <xf numFmtId="164" fontId="31" fillId="0" borderId="4" xfId="0" applyNumberFormat="1" applyFont="1" applyBorder="1" applyAlignment="1">
      <alignment horizontal="left" vertical="center"/>
    </xf>
    <xf numFmtId="0" fontId="31" fillId="0" borderId="33" xfId="0" applyFont="1" applyFill="1" applyBorder="1" applyAlignment="1">
      <alignment horizontal="right" vertical="center"/>
    </xf>
    <xf numFmtId="164" fontId="30" fillId="0" borderId="29" xfId="0" applyNumberFormat="1" applyFont="1" applyFill="1" applyBorder="1" applyAlignment="1">
      <alignment horizontal="left" vertical="center"/>
    </xf>
    <xf numFmtId="164" fontId="30" fillId="0" borderId="4" xfId="0" applyNumberFormat="1" applyFont="1" applyFill="1" applyBorder="1" applyAlignment="1">
      <alignment horizontal="right" vertical="center"/>
    </xf>
    <xf numFmtId="164" fontId="30" fillId="14" borderId="4" xfId="0" applyNumberFormat="1" applyFont="1" applyFill="1" applyBorder="1" applyAlignment="1">
      <alignment horizontal="left" vertical="center"/>
    </xf>
    <xf numFmtId="0" fontId="31" fillId="0" borderId="6" xfId="0" applyFont="1" applyBorder="1" applyAlignment="1">
      <alignment horizontal="left" vertical="center"/>
    </xf>
    <xf numFmtId="1" fontId="30" fillId="0" borderId="5" xfId="0" applyNumberFormat="1" applyFont="1" applyFill="1" applyBorder="1" applyAlignment="1">
      <alignment horizontal="center" vertical="center"/>
    </xf>
    <xf numFmtId="1" fontId="30" fillId="0" borderId="34" xfId="0" applyNumberFormat="1" applyFont="1" applyFill="1" applyBorder="1" applyAlignment="1">
      <alignment horizontal="center" vertical="center"/>
    </xf>
    <xf numFmtId="0" fontId="34" fillId="0" borderId="25" xfId="0" applyFont="1" applyFill="1" applyBorder="1" applyAlignment="1">
      <alignment horizontal="left"/>
    </xf>
    <xf numFmtId="0" fontId="34" fillId="0" borderId="6" xfId="0" applyFont="1" applyFill="1" applyBorder="1" applyAlignment="1">
      <alignment horizontal="left"/>
    </xf>
    <xf numFmtId="1" fontId="30" fillId="0" borderId="4" xfId="0" applyNumberFormat="1" applyFont="1" applyFill="1" applyBorder="1" applyAlignment="1">
      <alignment horizontal="center" vertical="center"/>
    </xf>
    <xf numFmtId="1" fontId="30" fillId="0" borderId="33" xfId="0" applyNumberFormat="1" applyFont="1" applyFill="1" applyBorder="1" applyAlignment="1">
      <alignment horizontal="center" vertical="center"/>
    </xf>
    <xf numFmtId="1" fontId="30" fillId="0" borderId="29" xfId="0" applyNumberFormat="1" applyFont="1" applyFill="1" applyBorder="1" applyAlignment="1">
      <alignment horizontal="center" vertical="center"/>
    </xf>
    <xf numFmtId="1" fontId="30" fillId="0" borderId="30" xfId="0" applyNumberFormat="1" applyFont="1" applyFill="1" applyBorder="1" applyAlignment="1">
      <alignment horizontal="center" vertical="center"/>
    </xf>
    <xf numFmtId="1" fontId="30" fillId="0" borderId="39" xfId="0" applyNumberFormat="1" applyFont="1" applyFill="1" applyBorder="1" applyAlignment="1">
      <alignment horizontal="center" vertical="center"/>
    </xf>
    <xf numFmtId="1" fontId="30" fillId="0" borderId="7" xfId="0" applyNumberFormat="1" applyFont="1" applyFill="1" applyBorder="1" applyAlignment="1">
      <alignment horizontal="center" vertical="center"/>
    </xf>
    <xf numFmtId="1" fontId="30" fillId="0" borderId="8" xfId="0" applyNumberFormat="1" applyFont="1" applyFill="1" applyBorder="1" applyAlignment="1">
      <alignment horizontal="center" vertical="center"/>
    </xf>
    <xf numFmtId="1" fontId="30" fillId="0" borderId="0" xfId="0" applyNumberFormat="1" applyFont="1" applyAlignment="1">
      <alignment horizontal="left"/>
    </xf>
    <xf numFmtId="0" fontId="41" fillId="0" borderId="26" xfId="0" applyFont="1" applyFill="1" applyBorder="1" applyAlignment="1">
      <alignment horizontal="center" vertical="center"/>
    </xf>
    <xf numFmtId="164" fontId="41" fillId="0" borderId="6" xfId="0" applyNumberFormat="1" applyFont="1" applyFill="1" applyBorder="1" applyAlignment="1">
      <alignment horizontal="center"/>
    </xf>
    <xf numFmtId="164" fontId="41" fillId="0" borderId="7" xfId="0" applyNumberFormat="1" applyFont="1" applyFill="1" applyBorder="1" applyAlignment="1">
      <alignment horizontal="center"/>
    </xf>
    <xf numFmtId="0" fontId="41" fillId="0" borderId="7" xfId="0" applyFont="1" applyFill="1" applyBorder="1" applyAlignment="1">
      <alignment horizontal="center"/>
    </xf>
    <xf numFmtId="0" fontId="41" fillId="0" borderId="8" xfId="0" applyFont="1" applyFill="1" applyBorder="1" applyAlignment="1">
      <alignment horizontal="center"/>
    </xf>
    <xf numFmtId="2" fontId="30" fillId="0" borderId="1" xfId="0" applyNumberFormat="1" applyFont="1" applyFill="1" applyBorder="1" applyAlignment="1">
      <alignment horizontal="center" vertical="center"/>
    </xf>
    <xf numFmtId="2" fontId="30" fillId="0" borderId="2" xfId="0" applyNumberFormat="1" applyFont="1" applyFill="1" applyBorder="1" applyAlignment="1">
      <alignment horizontal="center" vertical="center"/>
    </xf>
    <xf numFmtId="2" fontId="34" fillId="0" borderId="2" xfId="0" applyNumberFormat="1" applyFont="1" applyFill="1" applyBorder="1" applyAlignment="1">
      <alignment horizontal="center" vertical="center"/>
    </xf>
    <xf numFmtId="164" fontId="30" fillId="0" borderId="3" xfId="0" applyNumberFormat="1" applyFont="1" applyFill="1" applyBorder="1" applyAlignment="1">
      <alignment horizontal="center" vertical="center"/>
    </xf>
    <xf numFmtId="2" fontId="34" fillId="0" borderId="4" xfId="0" applyNumberFormat="1" applyFont="1" applyFill="1" applyBorder="1" applyAlignment="1">
      <alignment horizontal="center" vertical="center"/>
    </xf>
    <xf numFmtId="2" fontId="30" fillId="0" borderId="29" xfId="0" applyNumberFormat="1" applyFont="1" applyFill="1" applyBorder="1" applyAlignment="1">
      <alignment horizontal="center" vertical="center"/>
    </xf>
    <xf numFmtId="2" fontId="30" fillId="0" borderId="31" xfId="0" applyNumberFormat="1" applyFont="1" applyFill="1" applyBorder="1" applyAlignment="1">
      <alignment horizontal="center" vertical="center"/>
    </xf>
    <xf numFmtId="2" fontId="34" fillId="0" borderId="31" xfId="0" applyNumberFormat="1" applyFont="1" applyFill="1" applyBorder="1" applyAlignment="1">
      <alignment horizontal="center" vertical="center"/>
    </xf>
    <xf numFmtId="2" fontId="30" fillId="0" borderId="6" xfId="0" applyNumberFormat="1" applyFont="1" applyFill="1" applyBorder="1" applyAlignment="1">
      <alignment horizontal="center" vertical="center"/>
    </xf>
    <xf numFmtId="2" fontId="30" fillId="0" borderId="7" xfId="0" applyNumberFormat="1" applyFont="1" applyFill="1" applyBorder="1" applyAlignment="1">
      <alignment horizontal="center" vertical="center"/>
    </xf>
    <xf numFmtId="2" fontId="34" fillId="0" borderId="7" xfId="0" applyNumberFormat="1" applyFont="1" applyFill="1" applyBorder="1" applyAlignment="1">
      <alignment horizontal="center" vertical="center"/>
    </xf>
    <xf numFmtId="164" fontId="30" fillId="0" borderId="8" xfId="0" applyNumberFormat="1" applyFont="1" applyFill="1" applyBorder="1" applyAlignment="1">
      <alignment horizontal="center" vertical="center"/>
    </xf>
    <xf numFmtId="2" fontId="30" fillId="0" borderId="0" xfId="0" applyNumberFormat="1" applyFont="1" applyFill="1" applyAlignment="1">
      <alignment horizontal="center"/>
    </xf>
    <xf numFmtId="2" fontId="34" fillId="0" borderId="0" xfId="0" applyNumberFormat="1" applyFont="1" applyFill="1" applyAlignment="1">
      <alignment horizontal="center"/>
    </xf>
    <xf numFmtId="164" fontId="31" fillId="0" borderId="0" xfId="0" applyNumberFormat="1" applyFont="1" applyFill="1" applyAlignment="1">
      <alignment horizontal="center"/>
    </xf>
    <xf numFmtId="164" fontId="32" fillId="0" borderId="0" xfId="0" applyNumberFormat="1" applyFont="1" applyFill="1" applyAlignment="1">
      <alignment horizontal="center"/>
    </xf>
    <xf numFmtId="0" fontId="31" fillId="0" borderId="0" xfId="0" applyFont="1" applyFill="1" applyAlignment="1">
      <alignment horizontal="center"/>
    </xf>
    <xf numFmtId="0" fontId="32" fillId="0" borderId="0" xfId="0" applyFont="1" applyFill="1" applyAlignment="1">
      <alignment horizontal="center"/>
    </xf>
    <xf numFmtId="0" fontId="31" fillId="0" borderId="29" xfId="0" applyFont="1" applyFill="1" applyBorder="1" applyAlignment="1">
      <alignment vertical="center"/>
    </xf>
    <xf numFmtId="0" fontId="31" fillId="0" borderId="30" xfId="0" applyFont="1" applyFill="1" applyBorder="1" applyAlignment="1">
      <alignment vertical="center"/>
    </xf>
    <xf numFmtId="0" fontId="34" fillId="0" borderId="31" xfId="0" applyFont="1" applyFill="1" applyBorder="1" applyAlignment="1">
      <alignment horizontal="center" vertical="center"/>
    </xf>
    <xf numFmtId="0" fontId="30" fillId="0" borderId="4" xfId="0" applyFont="1" applyBorder="1" applyAlignment="1">
      <alignment horizontal="left" vertical="center" wrapText="1"/>
    </xf>
    <xf numFmtId="0" fontId="31" fillId="0" borderId="29" xfId="0" applyFont="1" applyFill="1" applyBorder="1" applyAlignment="1">
      <alignment horizontal="left" vertical="center"/>
    </xf>
    <xf numFmtId="1" fontId="30" fillId="0" borderId="4" xfId="0" applyNumberFormat="1" applyFont="1" applyBorder="1" applyAlignment="1">
      <alignment horizontal="center" vertical="center" wrapText="1"/>
    </xf>
    <xf numFmtId="1" fontId="31" fillId="0" borderId="29" xfId="0" applyNumberFormat="1" applyFont="1" applyFill="1" applyBorder="1" applyAlignment="1">
      <alignment horizontal="center" vertical="center"/>
    </xf>
    <xf numFmtId="1" fontId="30" fillId="0" borderId="0" xfId="0" applyNumberFormat="1" applyFont="1" applyBorder="1" applyAlignment="1">
      <alignment horizontal="center" vertical="center" wrapText="1"/>
    </xf>
    <xf numFmtId="1" fontId="30" fillId="0" borderId="5" xfId="0" applyNumberFormat="1" applyFont="1" applyBorder="1" applyAlignment="1">
      <alignment horizontal="center" vertical="center" wrapText="1"/>
    </xf>
    <xf numFmtId="0" fontId="30" fillId="0" borderId="0" xfId="0" applyFont="1" applyBorder="1" applyAlignment="1">
      <alignment horizontal="left" vertical="center" wrapText="1"/>
    </xf>
    <xf numFmtId="0" fontId="31" fillId="0" borderId="31" xfId="0" applyFont="1" applyFill="1" applyBorder="1" applyAlignment="1">
      <alignment horizontal="left" vertical="center"/>
    </xf>
    <xf numFmtId="0" fontId="30" fillId="0" borderId="11" xfId="0" applyFont="1" applyBorder="1" applyAlignment="1">
      <alignment vertical="center" wrapText="1"/>
    </xf>
    <xf numFmtId="0" fontId="31" fillId="0" borderId="28" xfId="0" applyFont="1" applyFill="1" applyBorder="1" applyAlignment="1">
      <alignment vertical="center"/>
    </xf>
    <xf numFmtId="0" fontId="31" fillId="0" borderId="28" xfId="0" applyFont="1" applyFill="1" applyBorder="1" applyAlignment="1">
      <alignment horizontal="left" vertical="center"/>
    </xf>
    <xf numFmtId="0" fontId="31" fillId="0" borderId="30" xfId="0" applyFont="1" applyFill="1" applyBorder="1"/>
    <xf numFmtId="0" fontId="30" fillId="0" borderId="30" xfId="0" applyFont="1" applyBorder="1" applyAlignment="1">
      <alignment vertical="center"/>
    </xf>
    <xf numFmtId="0" fontId="30" fillId="0" borderId="2" xfId="0" applyFont="1" applyFill="1" applyBorder="1" applyAlignment="1">
      <alignment horizontal="center" vertical="center"/>
    </xf>
    <xf numFmtId="0" fontId="30" fillId="2" borderId="31" xfId="0" applyNumberFormat="1" applyFont="1" applyFill="1" applyBorder="1" applyAlignment="1">
      <alignment horizontal="center" vertical="center"/>
    </xf>
    <xf numFmtId="164" fontId="30" fillId="0" borderId="2" xfId="0" applyNumberFormat="1" applyFont="1" applyFill="1" applyBorder="1" applyAlignment="1">
      <alignment horizontal="center" vertical="center"/>
    </xf>
    <xf numFmtId="164" fontId="34" fillId="0" borderId="2" xfId="0" applyNumberFormat="1" applyFont="1" applyFill="1" applyBorder="1" applyAlignment="1">
      <alignment horizontal="center" vertical="center"/>
    </xf>
    <xf numFmtId="0" fontId="34" fillId="2" borderId="31" xfId="0" applyNumberFormat="1" applyFont="1" applyFill="1" applyBorder="1" applyAlignment="1">
      <alignment horizontal="center" vertical="center"/>
    </xf>
    <xf numFmtId="0" fontId="30" fillId="0" borderId="1" xfId="0" applyFont="1" applyBorder="1" applyAlignment="1">
      <alignment horizontal="left" vertical="center" wrapText="1"/>
    </xf>
    <xf numFmtId="1" fontId="30" fillId="0" borderId="1" xfId="0" applyNumberFormat="1" applyFont="1" applyBorder="1" applyAlignment="1">
      <alignment horizontal="center" vertical="center" wrapText="1"/>
    </xf>
    <xf numFmtId="1" fontId="30" fillId="0" borderId="2" xfId="0" applyNumberFormat="1" applyFont="1" applyBorder="1" applyAlignment="1">
      <alignment horizontal="center" vertical="center" wrapText="1"/>
    </xf>
    <xf numFmtId="0" fontId="30" fillId="0" borderId="2" xfId="0" applyFont="1" applyBorder="1" applyAlignment="1">
      <alignment horizontal="left" vertical="center" wrapText="1"/>
    </xf>
    <xf numFmtId="0" fontId="30" fillId="0" borderId="31" xfId="0" applyFont="1" applyBorder="1" applyAlignment="1">
      <alignment vertical="center"/>
    </xf>
    <xf numFmtId="0" fontId="30" fillId="0" borderId="9" xfId="0" applyFont="1" applyBorder="1" applyAlignment="1">
      <alignment vertical="center" wrapText="1"/>
    </xf>
    <xf numFmtId="1" fontId="30" fillId="0" borderId="3" xfId="0" applyNumberFormat="1" applyFont="1" applyBorder="1" applyAlignment="1">
      <alignment horizontal="center" vertical="center" wrapText="1"/>
    </xf>
    <xf numFmtId="1" fontId="30" fillId="0" borderId="0" xfId="0" applyNumberFormat="1" applyFont="1" applyBorder="1" applyAlignment="1">
      <alignment horizontal="center"/>
    </xf>
    <xf numFmtId="1" fontId="31" fillId="0" borderId="0" xfId="0" applyNumberFormat="1" applyFont="1" applyAlignment="1">
      <alignment horizontal="center"/>
    </xf>
    <xf numFmtId="0" fontId="31" fillId="0" borderId="0" xfId="0" applyFont="1" applyAlignment="1">
      <alignment horizontal="center"/>
    </xf>
    <xf numFmtId="0" fontId="30" fillId="0" borderId="0" xfId="0" applyFont="1" applyAlignment="1">
      <alignment horizontal="center"/>
    </xf>
    <xf numFmtId="1" fontId="13" fillId="11" borderId="0" xfId="0" applyNumberFormat="1" applyFont="1" applyFill="1" applyBorder="1"/>
    <xf numFmtId="1" fontId="0" fillId="11" borderId="15" xfId="0" applyNumberFormat="1" applyFill="1" applyBorder="1"/>
    <xf numFmtId="1" fontId="13" fillId="11" borderId="15" xfId="0" applyNumberFormat="1" applyFont="1" applyFill="1" applyBorder="1"/>
    <xf numFmtId="0" fontId="13" fillId="11" borderId="15" xfId="0" applyFont="1" applyFill="1" applyBorder="1"/>
    <xf numFmtId="164" fontId="10" fillId="11" borderId="15" xfId="0" applyNumberFormat="1" applyFont="1" applyFill="1" applyBorder="1"/>
    <xf numFmtId="164" fontId="13" fillId="11" borderId="15" xfId="0" applyNumberFormat="1" applyFont="1" applyFill="1" applyBorder="1"/>
    <xf numFmtId="164" fontId="18" fillId="11" borderId="15" xfId="0" applyNumberFormat="1" applyFont="1" applyFill="1" applyBorder="1"/>
    <xf numFmtId="164" fontId="0" fillId="11" borderId="15" xfId="0" applyNumberFormat="1" applyFill="1" applyBorder="1"/>
    <xf numFmtId="0" fontId="0" fillId="11" borderId="15" xfId="0" applyFill="1" applyBorder="1"/>
    <xf numFmtId="0" fontId="0" fillId="11" borderId="0" xfId="0" applyFill="1" applyBorder="1"/>
    <xf numFmtId="164" fontId="13" fillId="11" borderId="19" xfId="0" applyNumberFormat="1" applyFont="1" applyFill="1" applyBorder="1"/>
    <xf numFmtId="0" fontId="0" fillId="11" borderId="0" xfId="0" applyFill="1"/>
    <xf numFmtId="2" fontId="0" fillId="11" borderId="18" xfId="0" applyNumberFormat="1" applyFill="1" applyBorder="1"/>
    <xf numFmtId="164" fontId="0" fillId="11" borderId="19" xfId="0" applyNumberFormat="1" applyFill="1" applyBorder="1"/>
    <xf numFmtId="164" fontId="14" fillId="11" borderId="0" xfId="0" applyNumberFormat="1" applyFont="1" applyFill="1" applyBorder="1" applyAlignment="1">
      <alignment horizontal="center"/>
    </xf>
    <xf numFmtId="164" fontId="13" fillId="11" borderId="0" xfId="0" applyNumberFormat="1" applyFont="1" applyFill="1" applyBorder="1" applyAlignment="1">
      <alignment horizontal="center"/>
    </xf>
    <xf numFmtId="164" fontId="39" fillId="12" borderId="15" xfId="8" applyNumberFormat="1" applyFont="1" applyFill="1" applyBorder="1" applyAlignment="1">
      <alignment horizontal="center"/>
    </xf>
    <xf numFmtId="2" fontId="39" fillId="12" borderId="15" xfId="8" applyNumberFormat="1" applyFont="1" applyFill="1" applyBorder="1" applyAlignment="1">
      <alignment horizontal="center"/>
    </xf>
    <xf numFmtId="164" fontId="39" fillId="4" borderId="15" xfId="8" applyNumberFormat="1" applyFont="1" applyFill="1" applyBorder="1" applyAlignment="1">
      <alignment horizontal="center"/>
    </xf>
    <xf numFmtId="2" fontId="39" fillId="4" borderId="15" xfId="8" applyNumberFormat="1" applyFont="1" applyFill="1" applyBorder="1" applyAlignment="1">
      <alignment horizontal="center"/>
    </xf>
    <xf numFmtId="164" fontId="40" fillId="4" borderId="15" xfId="8" applyNumberFormat="1" applyFont="1" applyFill="1" applyBorder="1" applyAlignment="1">
      <alignment horizontal="center"/>
    </xf>
    <xf numFmtId="164" fontId="22" fillId="12" borderId="0" xfId="5" applyNumberFormat="1" applyFill="1" applyAlignment="1">
      <alignment horizontal="center"/>
    </xf>
    <xf numFmtId="164" fontId="22" fillId="4" borderId="0" xfId="5" applyNumberFormat="1" applyFill="1" applyAlignment="1">
      <alignment horizontal="center"/>
    </xf>
    <xf numFmtId="0" fontId="15" fillId="5" borderId="0" xfId="0" applyFont="1" applyFill="1" applyBorder="1" applyAlignment="1">
      <alignment horizontal="center"/>
    </xf>
    <xf numFmtId="1" fontId="0" fillId="0" borderId="0" xfId="0" applyNumberFormat="1"/>
    <xf numFmtId="0" fontId="0" fillId="2" borderId="0" xfId="0" applyFill="1"/>
    <xf numFmtId="0" fontId="0" fillId="0" borderId="0" xfId="0" applyFill="1" applyBorder="1" applyAlignment="1">
      <alignment horizontal="left"/>
    </xf>
    <xf numFmtId="0" fontId="49" fillId="0" borderId="0" xfId="0" applyFont="1" applyAlignment="1">
      <alignment vertical="center"/>
    </xf>
    <xf numFmtId="0" fontId="30" fillId="0" borderId="4" xfId="0" applyFont="1" applyBorder="1" applyAlignment="1">
      <alignment horizontal="left" vertical="top" wrapText="1"/>
    </xf>
    <xf numFmtId="0" fontId="30" fillId="0" borderId="0" xfId="0" applyFont="1" applyBorder="1" applyAlignment="1">
      <alignment horizontal="left" vertical="top" wrapText="1"/>
    </xf>
    <xf numFmtId="1" fontId="34" fillId="0" borderId="25" xfId="0" applyNumberFormat="1" applyFont="1" applyFill="1" applyBorder="1" applyAlignment="1">
      <alignment horizontal="center"/>
    </xf>
    <xf numFmtId="1" fontId="34" fillId="0" borderId="26" xfId="0" applyNumberFormat="1" applyFont="1" applyFill="1" applyBorder="1" applyAlignment="1">
      <alignment horizontal="center"/>
    </xf>
    <xf numFmtId="1" fontId="30" fillId="0" borderId="0" xfId="0" applyNumberFormat="1" applyFont="1" applyFill="1" applyAlignment="1">
      <alignment horizontal="center"/>
    </xf>
    <xf numFmtId="164" fontId="30" fillId="0" borderId="0" xfId="0" applyNumberFormat="1" applyFont="1" applyFill="1" applyAlignment="1">
      <alignment horizontal="center"/>
    </xf>
    <xf numFmtId="164" fontId="41" fillId="0" borderId="25" xfId="0" applyNumberFormat="1" applyFont="1" applyFill="1" applyBorder="1" applyAlignment="1">
      <alignment horizontal="center" vertical="center"/>
    </xf>
    <xf numFmtId="164" fontId="41" fillId="0" borderId="27" xfId="0" applyNumberFormat="1" applyFont="1" applyFill="1" applyBorder="1" applyAlignment="1">
      <alignment horizontal="center" vertical="center"/>
    </xf>
    <xf numFmtId="0" fontId="41" fillId="0" borderId="27" xfId="0" applyFont="1" applyFill="1" applyBorder="1" applyAlignment="1">
      <alignment horizontal="center" vertical="center"/>
    </xf>
    <xf numFmtId="0" fontId="42" fillId="0" borderId="27" xfId="0" applyFont="1" applyFill="1" applyBorder="1" applyAlignment="1">
      <alignment horizontal="center" vertical="center"/>
    </xf>
    <xf numFmtId="0" fontId="0" fillId="0" borderId="0" xfId="0" applyAlignment="1">
      <alignment horizontal="center"/>
    </xf>
    <xf numFmtId="164" fontId="7" fillId="3" borderId="2" xfId="0" applyNumberFormat="1" applyFont="1" applyFill="1" applyBorder="1" applyAlignment="1">
      <alignment horizontal="center" vertical="center"/>
    </xf>
    <xf numFmtId="0" fontId="7" fillId="3" borderId="2" xfId="0" applyFont="1" applyFill="1" applyBorder="1" applyAlignment="1">
      <alignment horizontal="center" vertical="center"/>
    </xf>
    <xf numFmtId="0" fontId="7" fillId="0" borderId="1" xfId="0" applyFont="1" applyFill="1" applyBorder="1" applyAlignment="1">
      <alignment horizontal="center" vertical="center"/>
    </xf>
    <xf numFmtId="0" fontId="7" fillId="0" borderId="2" xfId="0" applyFont="1" applyFill="1" applyBorder="1" applyAlignment="1">
      <alignment horizontal="center" vertical="center"/>
    </xf>
    <xf numFmtId="0" fontId="12" fillId="0" borderId="0" xfId="0" applyFont="1" applyAlignment="1">
      <alignment horizontal="left" vertical="center"/>
    </xf>
    <xf numFmtId="0" fontId="18" fillId="0" borderId="15" xfId="0" applyFont="1" applyFill="1" applyBorder="1" applyAlignment="1">
      <alignment horizontal="center" vertical="center" textRotation="90" wrapText="1" shrinkToFit="1"/>
    </xf>
    <xf numFmtId="0" fontId="18" fillId="0" borderId="19" xfId="0" applyFont="1" applyFill="1" applyBorder="1" applyAlignment="1">
      <alignment horizontal="center" vertical="center" textRotation="90" wrapText="1" shrinkToFit="1"/>
    </xf>
    <xf numFmtId="0" fontId="18" fillId="0" borderId="16" xfId="0" applyFont="1" applyFill="1" applyBorder="1" applyAlignment="1">
      <alignment horizontal="center" vertical="center" textRotation="90" wrapText="1" shrinkToFit="1"/>
    </xf>
    <xf numFmtId="0" fontId="18" fillId="0" borderId="17" xfId="0" applyFont="1" applyFill="1" applyBorder="1" applyAlignment="1">
      <alignment horizontal="center" vertical="center" textRotation="90" wrapText="1" shrinkToFit="1"/>
    </xf>
    <xf numFmtId="11" fontId="0" fillId="0" borderId="0" xfId="0" applyNumberFormat="1"/>
  </cellXfs>
  <cellStyles count="37">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Hyperlink" xfId="1" builtinId="8"/>
    <cellStyle name="Normal" xfId="0" builtinId="0"/>
    <cellStyle name="Normal 2" xfId="4" xr:uid="{00000000-0005-0000-0000-00001B000000}"/>
    <cellStyle name="Normal 2 2" xfId="7" xr:uid="{00000000-0005-0000-0000-00001C000000}"/>
    <cellStyle name="Normal 2 3" xfId="9" xr:uid="{00000000-0005-0000-0000-00001D000000}"/>
    <cellStyle name="Normal 2 3 2" xfId="6" xr:uid="{00000000-0005-0000-0000-00001E000000}"/>
    <cellStyle name="Normal 3" xfId="5" xr:uid="{00000000-0005-0000-0000-00001F000000}"/>
    <cellStyle name="Normal 3 2" xfId="10" xr:uid="{00000000-0005-0000-0000-000020000000}"/>
    <cellStyle name="Normal 4" xfId="8" xr:uid="{00000000-0005-0000-0000-000021000000}"/>
    <cellStyle name="Normal 5" xfId="11" xr:uid="{00000000-0005-0000-0000-000022000000}"/>
    <cellStyle name="Standaard 2" xfId="2" xr:uid="{00000000-0005-0000-0000-000023000000}"/>
    <cellStyle name="Standaard 3" xfId="3" xr:uid="{00000000-0005-0000-0000-00002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clamp.ibcas.ac.cn/CLAMP_Uncertainties.html" TargetMode="External"/><Relationship Id="rId3" Type="http://schemas.openxmlformats.org/officeDocument/2006/relationships/hyperlink" Target="http://clamp.ibcas.ac.cn/CLAMP_Uncertainties.html" TargetMode="External"/><Relationship Id="rId7" Type="http://schemas.openxmlformats.org/officeDocument/2006/relationships/hyperlink" Target="http://clamp.ibcas.ac.cn/CLAMP_Uncertainties.html" TargetMode="External"/><Relationship Id="rId12" Type="http://schemas.openxmlformats.org/officeDocument/2006/relationships/comments" Target="../comments1.xml"/><Relationship Id="rId2" Type="http://schemas.openxmlformats.org/officeDocument/2006/relationships/hyperlink" Target="http://clamp.ibcas.ac.cn/CLAMP_Uncertainties.html" TargetMode="External"/><Relationship Id="rId1" Type="http://schemas.openxmlformats.org/officeDocument/2006/relationships/hyperlink" Target="http://clamp.ibcas.ac.cn/CLAMP_Uncertainties.html" TargetMode="External"/><Relationship Id="rId6" Type="http://schemas.openxmlformats.org/officeDocument/2006/relationships/hyperlink" Target="http://clamp.ibcas.ac.cn/CLAMP_Uncertainties.html" TargetMode="External"/><Relationship Id="rId11" Type="http://schemas.openxmlformats.org/officeDocument/2006/relationships/vmlDrawing" Target="../drawings/vmlDrawing1.vml"/><Relationship Id="rId5" Type="http://schemas.openxmlformats.org/officeDocument/2006/relationships/hyperlink" Target="http://clamp.ibcas.ac.cn/CLAMP_Uncertainties.html" TargetMode="External"/><Relationship Id="rId10" Type="http://schemas.openxmlformats.org/officeDocument/2006/relationships/hyperlink" Target="http://clamp.ibcas.ac.cn/CLAMP_Uncertainties.html" TargetMode="External"/><Relationship Id="rId4" Type="http://schemas.openxmlformats.org/officeDocument/2006/relationships/hyperlink" Target="http://clamp.ibcas.ac.cn/CLAMP_Uncertainties.html" TargetMode="External"/><Relationship Id="rId9" Type="http://schemas.openxmlformats.org/officeDocument/2006/relationships/hyperlink" Target="http://clamp.ibcas.ac.cn/CLAMP_Uncertainties.html" TargetMode="External"/></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87"/>
  <sheetViews>
    <sheetView tabSelected="1" workbookViewId="0">
      <pane xSplit="3" ySplit="1" topLeftCell="D303" activePane="bottomRight" state="frozen"/>
      <selection pane="topRight" activeCell="D1" sqref="D1"/>
      <selection pane="bottomLeft" activeCell="A2" sqref="A2"/>
      <selection pane="bottomRight" activeCell="A350" sqref="A350:C387"/>
    </sheetView>
  </sheetViews>
  <sheetFormatPr baseColWidth="10" defaultRowHeight="15" x14ac:dyDescent="0.2"/>
  <cols>
    <col min="13" max="13" width="12.6640625" bestFit="1" customWidth="1"/>
    <col min="14" max="22" width="11" bestFit="1" customWidth="1"/>
  </cols>
  <sheetData>
    <row r="1" spans="1:35" ht="17" thickBot="1" x14ac:dyDescent="0.25">
      <c r="A1" t="s">
        <v>918</v>
      </c>
      <c r="B1" t="s">
        <v>903</v>
      </c>
      <c r="C1" t="s">
        <v>901</v>
      </c>
      <c r="D1" s="60" t="s">
        <v>906</v>
      </c>
      <c r="E1" s="60" t="s">
        <v>907</v>
      </c>
      <c r="F1" s="60" t="s">
        <v>911</v>
      </c>
      <c r="G1" s="60" t="s">
        <v>908</v>
      </c>
      <c r="H1" s="60" t="s">
        <v>909</v>
      </c>
      <c r="I1" s="60" t="s">
        <v>910</v>
      </c>
      <c r="J1" s="60" t="s">
        <v>240</v>
      </c>
      <c r="K1" s="60" t="s">
        <v>241</v>
      </c>
      <c r="L1" s="60" t="s">
        <v>242</v>
      </c>
      <c r="M1" s="630" t="s">
        <v>897</v>
      </c>
      <c r="N1" s="630" t="s">
        <v>894</v>
      </c>
      <c r="O1" s="630" t="s">
        <v>895</v>
      </c>
      <c r="P1" s="630" t="s">
        <v>896</v>
      </c>
      <c r="Q1" s="630" t="s">
        <v>898</v>
      </c>
      <c r="R1" s="630" t="s">
        <v>900</v>
      </c>
      <c r="S1" s="630" t="s">
        <v>899</v>
      </c>
      <c r="T1" s="630" t="s">
        <v>912</v>
      </c>
      <c r="U1" s="630" t="s">
        <v>916</v>
      </c>
      <c r="V1" s="630" t="s">
        <v>917</v>
      </c>
      <c r="X1" s="107" t="s">
        <v>485</v>
      </c>
      <c r="Y1" s="107" t="s">
        <v>486</v>
      </c>
      <c r="Z1" s="107" t="s">
        <v>487</v>
      </c>
      <c r="AA1" s="107" t="s">
        <v>488</v>
      </c>
      <c r="AB1" s="107" t="s">
        <v>489</v>
      </c>
      <c r="AC1" s="107" t="s">
        <v>490</v>
      </c>
      <c r="AD1" s="107" t="s">
        <v>491</v>
      </c>
      <c r="AE1" s="107" t="s">
        <v>492</v>
      </c>
      <c r="AF1" s="107" t="s">
        <v>225</v>
      </c>
      <c r="AG1" s="107" t="s">
        <v>493</v>
      </c>
      <c r="AH1" s="107" t="s">
        <v>226</v>
      </c>
      <c r="AI1" s="107" t="s">
        <v>494</v>
      </c>
    </row>
    <row r="2" spans="1:35" x14ac:dyDescent="0.2">
      <c r="A2" s="632" t="s">
        <v>892</v>
      </c>
      <c r="B2" t="s">
        <v>902</v>
      </c>
      <c r="C2" t="s">
        <v>904</v>
      </c>
      <c r="D2" s="323">
        <v>10900</v>
      </c>
      <c r="E2" s="323"/>
      <c r="F2" s="323"/>
      <c r="G2" s="323">
        <v>105000</v>
      </c>
      <c r="H2" s="323">
        <v>13600</v>
      </c>
      <c r="I2" s="323"/>
      <c r="J2" s="323">
        <v>1820000</v>
      </c>
      <c r="K2" s="323">
        <v>256000</v>
      </c>
      <c r="L2" s="323">
        <v>47500</v>
      </c>
      <c r="M2" s="114">
        <f t="shared" ref="M2:M21" si="0">SUM(D2:L2)</f>
        <v>2253000</v>
      </c>
      <c r="N2" s="35">
        <f t="shared" ref="N2:N21" si="1">SUM(J2:L2)/$M2*100</f>
        <v>94.252108300044384</v>
      </c>
      <c r="O2" s="35">
        <f t="shared" ref="O2:O21" si="2">SUM(G2:I2)/$M2*100</f>
        <v>5.2640923213493114</v>
      </c>
      <c r="P2" s="35">
        <f t="shared" ref="P2:P21" si="3">SUM(D2:F2)/$M2*100</f>
        <v>0.48379937860630268</v>
      </c>
      <c r="Q2" s="35">
        <f t="shared" ref="Q2:Q21" si="4">(K2+(2*L2))/SUM(J2:L2)</f>
        <v>0.16529314810454437</v>
      </c>
      <c r="R2" s="35">
        <f t="shared" ref="R2:R21" si="5">(H2+(2*I2))/SUM(G2:I2)</f>
        <v>0.11467116357504216</v>
      </c>
      <c r="S2" s="35"/>
      <c r="T2" s="35"/>
      <c r="U2" s="35">
        <f t="shared" ref="U2:U22" si="6">SUM(Y2,AA2,AC2)/SUM(G2:I2)</f>
        <v>0</v>
      </c>
      <c r="V2" s="35">
        <f t="shared" ref="V2:V22" si="7">SUM(AE2,AG2,AI2)/SUM(D2:F2)</f>
        <v>0</v>
      </c>
    </row>
    <row r="3" spans="1:35" x14ac:dyDescent="0.2">
      <c r="A3" s="632" t="s">
        <v>892</v>
      </c>
      <c r="B3" t="s">
        <v>902</v>
      </c>
      <c r="C3" t="s">
        <v>904</v>
      </c>
      <c r="D3" s="323"/>
      <c r="E3" s="323"/>
      <c r="F3" s="323"/>
      <c r="G3" s="323">
        <v>24700</v>
      </c>
      <c r="H3" s="323"/>
      <c r="I3" s="323"/>
      <c r="J3" s="323">
        <v>769000</v>
      </c>
      <c r="K3" s="323">
        <v>104000</v>
      </c>
      <c r="L3" s="323">
        <v>36000</v>
      </c>
      <c r="M3" s="114">
        <f t="shared" ref="M3:M66" si="8">SUM(D3:L3)</f>
        <v>933700</v>
      </c>
      <c r="N3" s="35">
        <f t="shared" ref="N3:N66" si="9">SUM(J3:L3)/$M3*100</f>
        <v>97.354610688658028</v>
      </c>
      <c r="O3" s="35">
        <f t="shared" ref="O3:O66" si="10">SUM(G3:I3)/$M3*100</f>
        <v>2.6453893113419729</v>
      </c>
      <c r="P3" s="35">
        <f t="shared" ref="P3:P66" si="11">SUM(D3:F3)/$M3*100</f>
        <v>0</v>
      </c>
      <c r="Q3" s="35">
        <f t="shared" ref="Q3:Q66" si="12">(K3+(2*L3))/SUM(J3:L3)</f>
        <v>0.19361936193619361</v>
      </c>
      <c r="R3" s="35">
        <f t="shared" ref="R3:R66" si="13">(H3+(2*I3))/SUM(G3:I3)</f>
        <v>0</v>
      </c>
      <c r="S3" s="35"/>
      <c r="T3" s="35"/>
      <c r="U3" s="35">
        <f t="shared" ref="U3:U66" si="14">SUM(Y3,AA3,AC3)/SUM(G3:I3)</f>
        <v>0</v>
      </c>
      <c r="V3" s="35"/>
    </row>
    <row r="4" spans="1:35" x14ac:dyDescent="0.2">
      <c r="A4" s="632" t="s">
        <v>892</v>
      </c>
      <c r="B4" t="s">
        <v>902</v>
      </c>
      <c r="C4" t="s">
        <v>904</v>
      </c>
      <c r="D4" s="321"/>
      <c r="E4" s="321"/>
      <c r="F4" s="321"/>
      <c r="G4" s="323"/>
      <c r="H4" s="321"/>
      <c r="I4" s="321"/>
      <c r="J4" s="323">
        <v>163000</v>
      </c>
      <c r="K4" s="323">
        <v>25600</v>
      </c>
      <c r="L4" s="323">
        <v>4990</v>
      </c>
      <c r="M4" s="114">
        <f t="shared" si="8"/>
        <v>193590</v>
      </c>
      <c r="N4" s="35">
        <f t="shared" si="9"/>
        <v>100</v>
      </c>
      <c r="O4" s="35">
        <f t="shared" si="10"/>
        <v>0</v>
      </c>
      <c r="P4" s="35">
        <f t="shared" si="11"/>
        <v>0</v>
      </c>
      <c r="Q4" s="35">
        <f t="shared" si="12"/>
        <v>0.18379048504571519</v>
      </c>
      <c r="R4" s="35"/>
      <c r="S4" s="35"/>
      <c r="T4" s="35"/>
      <c r="U4" s="35"/>
      <c r="V4" s="35"/>
    </row>
    <row r="5" spans="1:35" x14ac:dyDescent="0.2">
      <c r="A5" s="632" t="s">
        <v>892</v>
      </c>
      <c r="B5" t="s">
        <v>902</v>
      </c>
      <c r="C5" t="s">
        <v>904</v>
      </c>
      <c r="D5" s="321"/>
      <c r="E5" s="321"/>
      <c r="F5" s="321"/>
      <c r="G5" s="323">
        <v>5820</v>
      </c>
      <c r="H5" s="321"/>
      <c r="I5" s="321"/>
      <c r="J5" s="323">
        <v>250000</v>
      </c>
      <c r="K5" s="323">
        <v>42600</v>
      </c>
      <c r="L5" s="323">
        <v>12700</v>
      </c>
      <c r="M5" s="114">
        <f t="shared" si="8"/>
        <v>311120</v>
      </c>
      <c r="N5" s="35">
        <f t="shared" si="9"/>
        <v>98.129339161738244</v>
      </c>
      <c r="O5" s="35">
        <f t="shared" si="10"/>
        <v>1.8706608382617638</v>
      </c>
      <c r="P5" s="35">
        <f t="shared" si="11"/>
        <v>0</v>
      </c>
      <c r="Q5" s="35">
        <f t="shared" si="12"/>
        <v>0.22273173927284637</v>
      </c>
      <c r="R5" s="35">
        <f t="shared" si="13"/>
        <v>0</v>
      </c>
      <c r="S5" s="35"/>
      <c r="T5" s="35"/>
      <c r="U5" s="35">
        <f t="shared" si="14"/>
        <v>0</v>
      </c>
      <c r="V5" s="35"/>
    </row>
    <row r="6" spans="1:35" x14ac:dyDescent="0.2">
      <c r="A6" s="632" t="s">
        <v>892</v>
      </c>
      <c r="B6" t="s">
        <v>902</v>
      </c>
      <c r="C6" t="s">
        <v>904</v>
      </c>
      <c r="D6" s="321"/>
      <c r="E6" s="321"/>
      <c r="F6" s="321"/>
      <c r="G6" s="323">
        <v>9710</v>
      </c>
      <c r="H6" s="321"/>
      <c r="I6" s="321"/>
      <c r="J6" s="323">
        <v>398000</v>
      </c>
      <c r="K6" s="323">
        <v>70300</v>
      </c>
      <c r="L6" s="323">
        <v>61900</v>
      </c>
      <c r="M6" s="114">
        <f t="shared" si="8"/>
        <v>539910</v>
      </c>
      <c r="N6" s="35">
        <f t="shared" si="9"/>
        <v>98.201552110536937</v>
      </c>
      <c r="O6" s="35">
        <f t="shared" si="10"/>
        <v>1.7984478894630587</v>
      </c>
      <c r="P6" s="35">
        <f t="shared" si="11"/>
        <v>0</v>
      </c>
      <c r="Q6" s="35">
        <f t="shared" si="12"/>
        <v>0.36608826857789512</v>
      </c>
      <c r="R6" s="35">
        <f t="shared" si="13"/>
        <v>0</v>
      </c>
      <c r="S6" s="35"/>
      <c r="T6" s="35"/>
      <c r="U6" s="35">
        <f t="shared" si="14"/>
        <v>0</v>
      </c>
      <c r="V6" s="35"/>
    </row>
    <row r="7" spans="1:35" x14ac:dyDescent="0.2">
      <c r="A7" s="632" t="s">
        <v>892</v>
      </c>
      <c r="B7" t="s">
        <v>902</v>
      </c>
      <c r="C7" t="s">
        <v>904</v>
      </c>
      <c r="D7" s="321"/>
      <c r="E7" s="321"/>
      <c r="F7" s="321"/>
      <c r="G7" s="321"/>
      <c r="H7" s="321"/>
      <c r="I7" s="321"/>
      <c r="J7" s="323">
        <v>122000</v>
      </c>
      <c r="K7" s="323">
        <v>8840</v>
      </c>
      <c r="L7" s="323">
        <v>8450</v>
      </c>
      <c r="M7" s="114">
        <f t="shared" si="8"/>
        <v>139290</v>
      </c>
      <c r="N7" s="35">
        <f t="shared" si="9"/>
        <v>100</v>
      </c>
      <c r="O7" s="35">
        <f t="shared" si="10"/>
        <v>0</v>
      </c>
      <c r="P7" s="35">
        <f t="shared" si="11"/>
        <v>0</v>
      </c>
      <c r="Q7" s="35">
        <f t="shared" si="12"/>
        <v>0.18479431402110705</v>
      </c>
      <c r="R7" s="35"/>
      <c r="S7" s="35"/>
      <c r="T7" s="35"/>
      <c r="U7" s="35"/>
      <c r="V7" s="35"/>
    </row>
    <row r="8" spans="1:35" x14ac:dyDescent="0.2">
      <c r="A8" s="632" t="s">
        <v>892</v>
      </c>
      <c r="B8" t="s">
        <v>902</v>
      </c>
      <c r="C8" t="s">
        <v>904</v>
      </c>
      <c r="D8" s="321"/>
      <c r="E8" s="321"/>
      <c r="F8" s="321"/>
      <c r="G8" s="321"/>
      <c r="H8" s="321"/>
      <c r="I8" s="321"/>
      <c r="J8" s="323">
        <v>10700</v>
      </c>
      <c r="K8" s="326"/>
      <c r="L8" s="326"/>
      <c r="M8" s="114">
        <f t="shared" si="8"/>
        <v>10700</v>
      </c>
      <c r="N8" s="35">
        <f t="shared" si="9"/>
        <v>100</v>
      </c>
      <c r="O8" s="35">
        <f t="shared" si="10"/>
        <v>0</v>
      </c>
      <c r="P8" s="35">
        <f t="shared" si="11"/>
        <v>0</v>
      </c>
      <c r="Q8" s="35">
        <f t="shared" si="12"/>
        <v>0</v>
      </c>
      <c r="R8" s="35"/>
      <c r="S8" s="35"/>
      <c r="T8" s="35"/>
      <c r="U8" s="35"/>
      <c r="V8" s="35"/>
    </row>
    <row r="9" spans="1:35" x14ac:dyDescent="0.2">
      <c r="A9" s="632" t="s">
        <v>892</v>
      </c>
      <c r="B9" t="s">
        <v>902</v>
      </c>
      <c r="C9" t="s">
        <v>904</v>
      </c>
      <c r="D9" s="321"/>
      <c r="E9" s="321"/>
      <c r="F9" s="321"/>
      <c r="G9" s="321"/>
      <c r="H9" s="321"/>
      <c r="I9" s="321"/>
      <c r="J9" s="323">
        <v>17700</v>
      </c>
      <c r="K9" s="326"/>
      <c r="L9" s="326"/>
      <c r="M9" s="114">
        <f t="shared" si="8"/>
        <v>17700</v>
      </c>
      <c r="N9" s="35">
        <f t="shared" si="9"/>
        <v>100</v>
      </c>
      <c r="O9" s="35">
        <f t="shared" si="10"/>
        <v>0</v>
      </c>
      <c r="P9" s="35">
        <f t="shared" si="11"/>
        <v>0</v>
      </c>
      <c r="Q9" s="35">
        <f t="shared" si="12"/>
        <v>0</v>
      </c>
      <c r="R9" s="35"/>
      <c r="S9" s="35"/>
      <c r="T9" s="35"/>
      <c r="U9" s="35"/>
      <c r="V9" s="35"/>
    </row>
    <row r="10" spans="1:35" x14ac:dyDescent="0.2">
      <c r="A10" s="632" t="s">
        <v>892</v>
      </c>
      <c r="B10" t="s">
        <v>902</v>
      </c>
      <c r="C10" t="s">
        <v>904</v>
      </c>
      <c r="D10" s="321"/>
      <c r="E10" s="321"/>
      <c r="F10" s="321"/>
      <c r="G10" s="323">
        <v>19300</v>
      </c>
      <c r="H10" s="321"/>
      <c r="I10" s="321"/>
      <c r="J10" s="323">
        <v>763000</v>
      </c>
      <c r="K10" s="323">
        <v>79900</v>
      </c>
      <c r="L10" s="323">
        <v>80000</v>
      </c>
      <c r="M10" s="114">
        <f t="shared" si="8"/>
        <v>942200</v>
      </c>
      <c r="N10" s="35">
        <f t="shared" si="9"/>
        <v>97.951602632137551</v>
      </c>
      <c r="O10" s="35">
        <f t="shared" si="10"/>
        <v>2.0483973678624494</v>
      </c>
      <c r="P10" s="35">
        <f t="shared" si="11"/>
        <v>0</v>
      </c>
      <c r="Q10" s="35">
        <f t="shared" si="12"/>
        <v>0.25994148878535051</v>
      </c>
      <c r="R10" s="35">
        <f t="shared" si="13"/>
        <v>0</v>
      </c>
      <c r="S10" s="35"/>
      <c r="T10" s="35"/>
      <c r="U10" s="35">
        <f t="shared" si="14"/>
        <v>0</v>
      </c>
      <c r="V10" s="35"/>
    </row>
    <row r="11" spans="1:35" x14ac:dyDescent="0.2">
      <c r="A11" s="632" t="s">
        <v>892</v>
      </c>
      <c r="B11" t="s">
        <v>902</v>
      </c>
      <c r="C11" t="s">
        <v>904</v>
      </c>
      <c r="D11" s="321"/>
      <c r="E11" s="321"/>
      <c r="F11" s="321"/>
      <c r="G11" s="321"/>
      <c r="H11" s="321"/>
      <c r="I11" s="321"/>
      <c r="J11" s="323">
        <v>143000</v>
      </c>
      <c r="K11" s="323">
        <v>25100</v>
      </c>
      <c r="L11" s="323">
        <v>13900</v>
      </c>
      <c r="M11" s="114">
        <f t="shared" si="8"/>
        <v>182000</v>
      </c>
      <c r="N11" s="35">
        <f t="shared" si="9"/>
        <v>100</v>
      </c>
      <c r="O11" s="35">
        <f t="shared" si="10"/>
        <v>0</v>
      </c>
      <c r="P11" s="35">
        <f t="shared" si="11"/>
        <v>0</v>
      </c>
      <c r="Q11" s="35">
        <f t="shared" si="12"/>
        <v>0.29065934065934068</v>
      </c>
      <c r="R11" s="35"/>
      <c r="S11" s="35"/>
      <c r="T11" s="35"/>
      <c r="U11" s="35"/>
      <c r="V11" s="35"/>
    </row>
    <row r="12" spans="1:35" x14ac:dyDescent="0.2">
      <c r="A12" s="632" t="s">
        <v>892</v>
      </c>
      <c r="B12" t="s">
        <v>902</v>
      </c>
      <c r="C12" t="s">
        <v>904</v>
      </c>
      <c r="D12" s="321"/>
      <c r="E12" s="321"/>
      <c r="F12" s="321"/>
      <c r="G12" s="321"/>
      <c r="H12" s="321"/>
      <c r="I12" s="321"/>
      <c r="J12" s="323">
        <v>118000</v>
      </c>
      <c r="K12" s="323">
        <v>24000</v>
      </c>
      <c r="L12" s="323">
        <v>6970</v>
      </c>
      <c r="M12" s="114">
        <f t="shared" si="8"/>
        <v>148970</v>
      </c>
      <c r="N12" s="35">
        <f t="shared" si="9"/>
        <v>100</v>
      </c>
      <c r="O12" s="35">
        <f t="shared" si="10"/>
        <v>0</v>
      </c>
      <c r="P12" s="35">
        <f t="shared" si="11"/>
        <v>0</v>
      </c>
      <c r="Q12" s="35">
        <f t="shared" si="12"/>
        <v>0.25468215076861112</v>
      </c>
      <c r="R12" s="35"/>
      <c r="S12" s="35"/>
      <c r="T12" s="35"/>
      <c r="U12" s="35"/>
      <c r="V12" s="35"/>
    </row>
    <row r="13" spans="1:35" x14ac:dyDescent="0.2">
      <c r="A13" s="632" t="s">
        <v>892</v>
      </c>
      <c r="B13" t="s">
        <v>902</v>
      </c>
      <c r="C13" t="s">
        <v>904</v>
      </c>
      <c r="D13" s="321"/>
      <c r="E13" s="321"/>
      <c r="F13" s="321"/>
      <c r="G13" s="323"/>
      <c r="H13" s="321"/>
      <c r="I13" s="321"/>
      <c r="J13" s="323">
        <v>211000</v>
      </c>
      <c r="K13" s="323">
        <v>30200</v>
      </c>
      <c r="L13" s="323">
        <v>18400</v>
      </c>
      <c r="M13" s="114">
        <f t="shared" si="8"/>
        <v>259600</v>
      </c>
      <c r="N13" s="35">
        <f t="shared" si="9"/>
        <v>100</v>
      </c>
      <c r="O13" s="35">
        <f t="shared" si="10"/>
        <v>0</v>
      </c>
      <c r="P13" s="35">
        <f t="shared" si="11"/>
        <v>0</v>
      </c>
      <c r="Q13" s="35">
        <f t="shared" si="12"/>
        <v>0.25808936825885981</v>
      </c>
      <c r="R13" s="35"/>
      <c r="S13" s="35"/>
      <c r="T13" s="35"/>
      <c r="U13" s="35"/>
      <c r="V13" s="35"/>
    </row>
    <row r="14" spans="1:35" x14ac:dyDescent="0.2">
      <c r="A14" s="632" t="s">
        <v>892</v>
      </c>
      <c r="B14" t="s">
        <v>902</v>
      </c>
      <c r="C14" t="s">
        <v>904</v>
      </c>
      <c r="D14" s="321"/>
      <c r="E14" s="321"/>
      <c r="F14" s="321"/>
      <c r="G14" s="323">
        <v>18100</v>
      </c>
      <c r="H14" s="321"/>
      <c r="I14" s="321"/>
      <c r="J14" s="323">
        <v>456000</v>
      </c>
      <c r="K14" s="323">
        <v>90900</v>
      </c>
      <c r="L14" s="323">
        <v>65600</v>
      </c>
      <c r="M14" s="114">
        <f t="shared" si="8"/>
        <v>630600</v>
      </c>
      <c r="N14" s="35">
        <f t="shared" si="9"/>
        <v>97.129717729146847</v>
      </c>
      <c r="O14" s="35">
        <f t="shared" si="10"/>
        <v>2.8702822708531555</v>
      </c>
      <c r="P14" s="35">
        <f t="shared" si="11"/>
        <v>0</v>
      </c>
      <c r="Q14" s="35">
        <f t="shared" si="12"/>
        <v>0.36261224489795918</v>
      </c>
      <c r="R14" s="35">
        <f t="shared" si="13"/>
        <v>0</v>
      </c>
      <c r="S14" s="35"/>
      <c r="T14" s="35"/>
      <c r="U14" s="35">
        <f t="shared" si="14"/>
        <v>0</v>
      </c>
      <c r="V14" s="35"/>
    </row>
    <row r="15" spans="1:35" x14ac:dyDescent="0.2">
      <c r="A15" s="632" t="s">
        <v>892</v>
      </c>
      <c r="B15" t="s">
        <v>902</v>
      </c>
      <c r="C15" t="s">
        <v>904</v>
      </c>
      <c r="D15" s="321"/>
      <c r="E15" s="321"/>
      <c r="F15" s="321"/>
      <c r="G15" s="323">
        <v>48900</v>
      </c>
      <c r="H15" s="321"/>
      <c r="I15" s="321"/>
      <c r="J15" s="323">
        <v>1150000</v>
      </c>
      <c r="K15" s="323">
        <v>235000</v>
      </c>
      <c r="L15" s="323">
        <v>131000</v>
      </c>
      <c r="M15" s="114">
        <f t="shared" si="8"/>
        <v>1564900</v>
      </c>
      <c r="N15" s="35">
        <f t="shared" si="9"/>
        <v>96.875199693271128</v>
      </c>
      <c r="O15" s="35">
        <f t="shared" si="10"/>
        <v>3.1248003067288641</v>
      </c>
      <c r="P15" s="35">
        <f t="shared" si="11"/>
        <v>0</v>
      </c>
      <c r="Q15" s="35">
        <f t="shared" si="12"/>
        <v>0.32783641160949867</v>
      </c>
      <c r="R15" s="35">
        <f t="shared" si="13"/>
        <v>0</v>
      </c>
      <c r="S15" s="35"/>
      <c r="T15" s="35"/>
      <c r="U15" s="35">
        <f t="shared" si="14"/>
        <v>0</v>
      </c>
      <c r="V15" s="35"/>
    </row>
    <row r="16" spans="1:35" x14ac:dyDescent="0.2">
      <c r="A16" s="632" t="s">
        <v>892</v>
      </c>
      <c r="B16" t="s">
        <v>902</v>
      </c>
      <c r="C16" t="s">
        <v>904</v>
      </c>
      <c r="D16" s="321"/>
      <c r="E16" s="321"/>
      <c r="F16" s="321"/>
      <c r="G16" s="323">
        <v>31300</v>
      </c>
      <c r="H16" s="321"/>
      <c r="I16" s="321"/>
      <c r="J16" s="323">
        <v>267000</v>
      </c>
      <c r="K16" s="323">
        <v>56900</v>
      </c>
      <c r="L16" s="323">
        <v>38100</v>
      </c>
      <c r="M16" s="114">
        <f t="shared" si="8"/>
        <v>393300</v>
      </c>
      <c r="N16" s="35">
        <f t="shared" si="9"/>
        <v>92.041698449021098</v>
      </c>
      <c r="O16" s="35">
        <f t="shared" si="10"/>
        <v>7.9583015509788968</v>
      </c>
      <c r="P16" s="35">
        <f t="shared" si="11"/>
        <v>0</v>
      </c>
      <c r="Q16" s="35">
        <f t="shared" si="12"/>
        <v>0.36767955801104973</v>
      </c>
      <c r="R16" s="35">
        <f t="shared" si="13"/>
        <v>0</v>
      </c>
      <c r="S16" s="35"/>
      <c r="T16" s="35"/>
      <c r="U16" s="35">
        <f t="shared" si="14"/>
        <v>0</v>
      </c>
      <c r="V16" s="35"/>
    </row>
    <row r="17" spans="1:22" x14ac:dyDescent="0.2">
      <c r="A17" s="632" t="s">
        <v>892</v>
      </c>
      <c r="B17" t="s">
        <v>902</v>
      </c>
      <c r="C17" t="s">
        <v>904</v>
      </c>
      <c r="D17" s="323"/>
      <c r="E17" s="321"/>
      <c r="F17" s="321"/>
      <c r="G17" s="323">
        <v>60700</v>
      </c>
      <c r="H17" s="323"/>
      <c r="I17" s="323"/>
      <c r="J17" s="323">
        <v>180000</v>
      </c>
      <c r="K17" s="323">
        <v>31400</v>
      </c>
      <c r="L17" s="323">
        <v>210000</v>
      </c>
      <c r="M17" s="114">
        <f t="shared" si="8"/>
        <v>482100</v>
      </c>
      <c r="N17" s="35">
        <f t="shared" si="9"/>
        <v>87.409251192698605</v>
      </c>
      <c r="O17" s="35">
        <f t="shared" si="10"/>
        <v>12.590748807301388</v>
      </c>
      <c r="P17" s="35">
        <f t="shared" si="11"/>
        <v>0</v>
      </c>
      <c r="Q17" s="35">
        <f t="shared" si="12"/>
        <v>1.0711912672045563</v>
      </c>
      <c r="R17" s="35">
        <f t="shared" si="13"/>
        <v>0</v>
      </c>
      <c r="S17" s="35"/>
      <c r="T17" s="35"/>
      <c r="U17" s="35">
        <f t="shared" si="14"/>
        <v>0</v>
      </c>
      <c r="V17" s="35"/>
    </row>
    <row r="18" spans="1:22" x14ac:dyDescent="0.2">
      <c r="A18" s="632" t="s">
        <v>892</v>
      </c>
      <c r="B18" t="s">
        <v>902</v>
      </c>
      <c r="C18" t="s">
        <v>904</v>
      </c>
      <c r="D18" s="323">
        <v>44900</v>
      </c>
      <c r="E18" s="321"/>
      <c r="F18" s="321"/>
      <c r="G18" s="323">
        <v>330000</v>
      </c>
      <c r="H18" s="323">
        <v>77800</v>
      </c>
      <c r="I18" s="323">
        <v>3400</v>
      </c>
      <c r="J18" s="323">
        <v>1970000</v>
      </c>
      <c r="K18" s="323">
        <v>245000</v>
      </c>
      <c r="L18" s="323">
        <v>80700</v>
      </c>
      <c r="M18" s="114">
        <f t="shared" si="8"/>
        <v>2751800</v>
      </c>
      <c r="N18" s="35">
        <f t="shared" si="9"/>
        <v>83.425394287375525</v>
      </c>
      <c r="O18" s="35">
        <f t="shared" si="10"/>
        <v>14.942946435060689</v>
      </c>
      <c r="P18" s="35">
        <f t="shared" si="11"/>
        <v>1.6316592775637764</v>
      </c>
      <c r="Q18" s="35">
        <f t="shared" si="12"/>
        <v>0.17702661497582436</v>
      </c>
      <c r="R18" s="35">
        <f t="shared" si="13"/>
        <v>0.20573929961089493</v>
      </c>
      <c r="S18" s="35"/>
      <c r="T18" s="35"/>
      <c r="U18" s="35">
        <f t="shared" si="14"/>
        <v>0</v>
      </c>
      <c r="V18" s="35">
        <f t="shared" ref="V3:V66" si="15">SUM(AE18,AG18,AI18)/SUM(D18:F18)</f>
        <v>0</v>
      </c>
    </row>
    <row r="19" spans="1:22" x14ac:dyDescent="0.2">
      <c r="A19" s="632" t="s">
        <v>892</v>
      </c>
      <c r="B19" t="s">
        <v>902</v>
      </c>
      <c r="C19" t="s">
        <v>904</v>
      </c>
      <c r="D19" s="323">
        <v>27700</v>
      </c>
      <c r="E19" s="321"/>
      <c r="F19" s="321"/>
      <c r="G19" s="323">
        <v>545000</v>
      </c>
      <c r="H19" s="323">
        <v>37500</v>
      </c>
      <c r="I19" s="323">
        <v>5590</v>
      </c>
      <c r="J19" s="323">
        <v>3170000</v>
      </c>
      <c r="K19" s="323">
        <v>367000</v>
      </c>
      <c r="L19" s="323">
        <v>107000</v>
      </c>
      <c r="M19" s="114">
        <f t="shared" si="8"/>
        <v>4259790</v>
      </c>
      <c r="N19" s="35">
        <f t="shared" si="9"/>
        <v>85.544123067099548</v>
      </c>
      <c r="O19" s="35">
        <f t="shared" si="10"/>
        <v>13.805610135710916</v>
      </c>
      <c r="P19" s="35">
        <f t="shared" si="11"/>
        <v>0.65026679718953284</v>
      </c>
      <c r="Q19" s="35">
        <f t="shared" si="12"/>
        <v>0.15944017563117455</v>
      </c>
      <c r="R19" s="35">
        <f t="shared" si="13"/>
        <v>8.2776445782108174E-2</v>
      </c>
      <c r="S19" s="35"/>
      <c r="T19" s="35"/>
      <c r="U19" s="35">
        <f t="shared" si="14"/>
        <v>0</v>
      </c>
      <c r="V19" s="35">
        <f t="shared" si="15"/>
        <v>0</v>
      </c>
    </row>
    <row r="20" spans="1:22" x14ac:dyDescent="0.2">
      <c r="A20" s="632" t="s">
        <v>892</v>
      </c>
      <c r="B20" t="s">
        <v>902</v>
      </c>
      <c r="C20" t="s">
        <v>904</v>
      </c>
      <c r="D20" s="323">
        <v>66600</v>
      </c>
      <c r="E20" s="321"/>
      <c r="F20" s="321"/>
      <c r="G20" s="323">
        <v>520000</v>
      </c>
      <c r="H20" s="323">
        <v>51800</v>
      </c>
      <c r="I20" s="323">
        <v>5000</v>
      </c>
      <c r="J20" s="323">
        <v>2810000</v>
      </c>
      <c r="K20" s="323">
        <v>311000</v>
      </c>
      <c r="L20" s="323">
        <v>93000</v>
      </c>
      <c r="M20" s="114">
        <f t="shared" si="8"/>
        <v>3857400</v>
      </c>
      <c r="N20" s="35">
        <f t="shared" si="9"/>
        <v>83.32037123451029</v>
      </c>
      <c r="O20" s="35">
        <f t="shared" si="10"/>
        <v>14.953077202260589</v>
      </c>
      <c r="P20" s="35">
        <f t="shared" si="11"/>
        <v>1.726551563229118</v>
      </c>
      <c r="Q20" s="35">
        <f t="shared" si="12"/>
        <v>0.15463596764156815</v>
      </c>
      <c r="R20" s="35">
        <f t="shared" si="13"/>
        <v>0.10714285714285714</v>
      </c>
      <c r="S20" s="35"/>
      <c r="T20" s="35"/>
      <c r="U20" s="35">
        <f t="shared" si="14"/>
        <v>0</v>
      </c>
      <c r="V20" s="35">
        <f t="shared" si="15"/>
        <v>0</v>
      </c>
    </row>
    <row r="21" spans="1:22" x14ac:dyDescent="0.2">
      <c r="A21" s="632" t="s">
        <v>892</v>
      </c>
      <c r="B21" t="s">
        <v>902</v>
      </c>
      <c r="C21" t="s">
        <v>904</v>
      </c>
      <c r="D21" s="323">
        <v>29900</v>
      </c>
      <c r="E21" s="321"/>
      <c r="F21" s="321"/>
      <c r="G21" s="323">
        <v>287000</v>
      </c>
      <c r="H21" s="323">
        <v>66300</v>
      </c>
      <c r="I21" s="323">
        <v>2470</v>
      </c>
      <c r="J21" s="323">
        <v>1480000</v>
      </c>
      <c r="K21" s="323">
        <v>178000</v>
      </c>
      <c r="L21" s="323">
        <v>49600</v>
      </c>
      <c r="M21" s="114">
        <f t="shared" si="8"/>
        <v>2093270</v>
      </c>
      <c r="N21" s="35">
        <f t="shared" si="9"/>
        <v>81.575716462759232</v>
      </c>
      <c r="O21" s="35">
        <f t="shared" si="10"/>
        <v>16.995896372660958</v>
      </c>
      <c r="P21" s="35">
        <f t="shared" si="11"/>
        <v>1.4283871645798201</v>
      </c>
      <c r="Q21" s="35">
        <f t="shared" si="12"/>
        <v>0.16233309908643712</v>
      </c>
      <c r="R21" s="35">
        <f t="shared" si="13"/>
        <v>0.20024172920707198</v>
      </c>
      <c r="S21" s="35"/>
      <c r="T21" s="35"/>
      <c r="U21" s="35">
        <f t="shared" si="14"/>
        <v>0</v>
      </c>
      <c r="V21" s="35">
        <f t="shared" si="15"/>
        <v>0</v>
      </c>
    </row>
    <row r="22" spans="1:22" x14ac:dyDescent="0.2">
      <c r="A22" s="632" t="s">
        <v>892</v>
      </c>
      <c r="B22" t="s">
        <v>902</v>
      </c>
      <c r="C22" t="s">
        <v>904</v>
      </c>
      <c r="D22" s="323">
        <v>54300</v>
      </c>
      <c r="E22" s="321"/>
      <c r="F22" s="321"/>
      <c r="G22" s="323">
        <v>493000</v>
      </c>
      <c r="H22" s="323">
        <v>123000</v>
      </c>
      <c r="I22" s="323">
        <v>3590</v>
      </c>
      <c r="J22" s="323">
        <v>2650000</v>
      </c>
      <c r="K22" s="323">
        <v>326000</v>
      </c>
      <c r="L22" s="323">
        <v>89300</v>
      </c>
      <c r="M22" s="114">
        <f t="shared" si="8"/>
        <v>3739190</v>
      </c>
      <c r="N22" s="35">
        <f t="shared" si="9"/>
        <v>81.977647565381801</v>
      </c>
      <c r="O22" s="35">
        <f t="shared" si="10"/>
        <v>16.570166265955997</v>
      </c>
      <c r="P22" s="35">
        <f t="shared" si="11"/>
        <v>1.4521861686621969</v>
      </c>
      <c r="Q22" s="35">
        <f t="shared" si="12"/>
        <v>0.16461684011352887</v>
      </c>
      <c r="R22" s="35">
        <f t="shared" si="13"/>
        <v>0.21010668345196018</v>
      </c>
      <c r="S22" s="35"/>
      <c r="T22" s="35"/>
      <c r="U22" s="35">
        <f t="shared" si="14"/>
        <v>0</v>
      </c>
      <c r="V22" s="35">
        <f t="shared" si="15"/>
        <v>0</v>
      </c>
    </row>
    <row r="23" spans="1:22" x14ac:dyDescent="0.2">
      <c r="A23" s="632" t="s">
        <v>892</v>
      </c>
      <c r="B23" t="s">
        <v>902</v>
      </c>
      <c r="C23" t="s">
        <v>904</v>
      </c>
      <c r="D23" s="323">
        <v>87400</v>
      </c>
      <c r="E23" s="321"/>
      <c r="F23" s="321"/>
      <c r="G23" s="323">
        <v>675000</v>
      </c>
      <c r="H23" s="323">
        <v>145000</v>
      </c>
      <c r="I23" s="323">
        <v>8130</v>
      </c>
      <c r="J23" s="323">
        <v>3560000</v>
      </c>
      <c r="K23" s="323">
        <v>401000</v>
      </c>
      <c r="L23" s="323">
        <v>119000</v>
      </c>
      <c r="M23" s="114">
        <f t="shared" si="8"/>
        <v>4995530</v>
      </c>
      <c r="N23" s="35">
        <f t="shared" si="9"/>
        <v>81.673015676014359</v>
      </c>
      <c r="O23" s="35">
        <f t="shared" si="10"/>
        <v>16.577420213671022</v>
      </c>
      <c r="P23" s="35">
        <f t="shared" si="11"/>
        <v>1.7495641103146213</v>
      </c>
      <c r="Q23" s="35">
        <f t="shared" si="12"/>
        <v>0.15661764705882353</v>
      </c>
      <c r="R23" s="35">
        <f t="shared" si="13"/>
        <v>0.19472788088826634</v>
      </c>
      <c r="S23" s="35"/>
      <c r="T23" s="35"/>
      <c r="U23" s="35">
        <f t="shared" si="14"/>
        <v>0</v>
      </c>
      <c r="V23" s="35">
        <f t="shared" si="15"/>
        <v>0</v>
      </c>
    </row>
    <row r="24" spans="1:22" x14ac:dyDescent="0.2">
      <c r="A24" s="632" t="s">
        <v>892</v>
      </c>
      <c r="B24" t="s">
        <v>902</v>
      </c>
      <c r="C24" t="s">
        <v>904</v>
      </c>
      <c r="D24" s="323">
        <v>41500</v>
      </c>
      <c r="E24" s="321"/>
      <c r="F24" s="321"/>
      <c r="G24" s="323">
        <v>381000</v>
      </c>
      <c r="H24" s="323">
        <v>73300</v>
      </c>
      <c r="I24" s="323">
        <v>7850</v>
      </c>
      <c r="J24" s="323">
        <v>1610000</v>
      </c>
      <c r="K24" s="323">
        <v>256000</v>
      </c>
      <c r="L24" s="323">
        <v>67500</v>
      </c>
      <c r="M24" s="114">
        <f t="shared" si="8"/>
        <v>2437150</v>
      </c>
      <c r="N24" s="35">
        <f t="shared" si="9"/>
        <v>79.334468539072276</v>
      </c>
      <c r="O24" s="35">
        <f t="shared" si="10"/>
        <v>18.962722852512158</v>
      </c>
      <c r="P24" s="35">
        <f t="shared" si="11"/>
        <v>1.7028086084155674</v>
      </c>
      <c r="Q24" s="35">
        <f t="shared" si="12"/>
        <v>0.2022239462115335</v>
      </c>
      <c r="R24" s="35">
        <f t="shared" si="13"/>
        <v>0.19257816726171156</v>
      </c>
      <c r="S24" s="35"/>
      <c r="T24" s="35"/>
      <c r="U24" s="35">
        <f t="shared" si="14"/>
        <v>0</v>
      </c>
      <c r="V24" s="35">
        <f t="shared" si="15"/>
        <v>0</v>
      </c>
    </row>
    <row r="25" spans="1:22" x14ac:dyDescent="0.2">
      <c r="A25" s="632" t="s">
        <v>892</v>
      </c>
      <c r="B25" t="s">
        <v>902</v>
      </c>
      <c r="C25" t="s">
        <v>904</v>
      </c>
      <c r="D25" s="323">
        <v>65100</v>
      </c>
      <c r="E25" s="321"/>
      <c r="F25" s="321"/>
      <c r="G25" s="323">
        <v>480000</v>
      </c>
      <c r="H25" s="323">
        <v>61000</v>
      </c>
      <c r="I25" s="323">
        <v>5110</v>
      </c>
      <c r="J25" s="323">
        <v>2120000</v>
      </c>
      <c r="K25" s="323">
        <v>324000</v>
      </c>
      <c r="L25" s="323">
        <v>81800</v>
      </c>
      <c r="M25" s="114">
        <f t="shared" si="8"/>
        <v>3137010</v>
      </c>
      <c r="N25" s="35">
        <f t="shared" si="9"/>
        <v>80.516160292762848</v>
      </c>
      <c r="O25" s="35">
        <f t="shared" si="10"/>
        <v>17.408615210024834</v>
      </c>
      <c r="P25" s="35">
        <f t="shared" si="11"/>
        <v>2.0752244972123135</v>
      </c>
      <c r="Q25" s="35">
        <f t="shared" si="12"/>
        <v>0.19304774724839655</v>
      </c>
      <c r="R25" s="35">
        <f t="shared" si="13"/>
        <v>0.13041328670048158</v>
      </c>
      <c r="S25" s="35"/>
      <c r="T25" s="35"/>
      <c r="U25" s="35">
        <f t="shared" si="14"/>
        <v>0</v>
      </c>
      <c r="V25" s="35">
        <f t="shared" si="15"/>
        <v>0</v>
      </c>
    </row>
    <row r="26" spans="1:22" x14ac:dyDescent="0.2">
      <c r="A26" s="632" t="s">
        <v>892</v>
      </c>
      <c r="B26" t="s">
        <v>902</v>
      </c>
      <c r="C26" t="s">
        <v>904</v>
      </c>
      <c r="D26" s="323">
        <v>25400</v>
      </c>
      <c r="E26" s="321"/>
      <c r="F26" s="321"/>
      <c r="G26" s="323">
        <v>367000</v>
      </c>
      <c r="H26" s="323">
        <v>41100</v>
      </c>
      <c r="I26" s="323">
        <v>4020</v>
      </c>
      <c r="J26" s="323">
        <v>2170000</v>
      </c>
      <c r="K26" s="323">
        <v>256000</v>
      </c>
      <c r="L26" s="323">
        <v>76700</v>
      </c>
      <c r="M26" s="114">
        <f t="shared" si="8"/>
        <v>2940220</v>
      </c>
      <c r="N26" s="35">
        <f t="shared" si="9"/>
        <v>85.119480855174103</v>
      </c>
      <c r="O26" s="35">
        <f t="shared" si="10"/>
        <v>14.016638210746136</v>
      </c>
      <c r="P26" s="35">
        <f t="shared" si="11"/>
        <v>0.86388093407976274</v>
      </c>
      <c r="Q26" s="35">
        <f t="shared" si="12"/>
        <v>0.16358333000359612</v>
      </c>
      <c r="R26" s="35">
        <f t="shared" si="13"/>
        <v>0.11923711540328059</v>
      </c>
      <c r="S26" s="35"/>
      <c r="T26" s="35"/>
      <c r="U26" s="35">
        <f t="shared" si="14"/>
        <v>0</v>
      </c>
      <c r="V26" s="35">
        <f t="shared" si="15"/>
        <v>0</v>
      </c>
    </row>
    <row r="27" spans="1:22" x14ac:dyDescent="0.2">
      <c r="A27" s="632" t="s">
        <v>892</v>
      </c>
      <c r="B27" t="s">
        <v>902</v>
      </c>
      <c r="C27" t="s">
        <v>904</v>
      </c>
      <c r="D27" s="323">
        <v>29200</v>
      </c>
      <c r="E27" s="321"/>
      <c r="F27" s="321"/>
      <c r="G27" s="323">
        <v>215000</v>
      </c>
      <c r="H27" s="323">
        <v>33200</v>
      </c>
      <c r="I27" s="323">
        <v>2340</v>
      </c>
      <c r="J27" s="323">
        <v>1050000</v>
      </c>
      <c r="K27" s="323">
        <v>126000</v>
      </c>
      <c r="L27" s="323">
        <v>38800</v>
      </c>
      <c r="M27" s="114">
        <f t="shared" si="8"/>
        <v>1494540</v>
      </c>
      <c r="N27" s="35">
        <f t="shared" si="9"/>
        <v>81.282535094410321</v>
      </c>
      <c r="O27" s="35">
        <f t="shared" si="10"/>
        <v>16.763686485473791</v>
      </c>
      <c r="P27" s="35">
        <f t="shared" si="11"/>
        <v>1.9537784201158883</v>
      </c>
      <c r="Q27" s="35">
        <f t="shared" si="12"/>
        <v>0.16759960487323017</v>
      </c>
      <c r="R27" s="35">
        <f t="shared" si="13"/>
        <v>0.15119342220803064</v>
      </c>
      <c r="S27" s="35"/>
      <c r="T27" s="35"/>
      <c r="U27" s="35">
        <f t="shared" si="14"/>
        <v>0</v>
      </c>
      <c r="V27" s="35">
        <f t="shared" si="15"/>
        <v>0</v>
      </c>
    </row>
    <row r="28" spans="1:22" x14ac:dyDescent="0.2">
      <c r="A28" s="632" t="s">
        <v>892</v>
      </c>
      <c r="B28" t="s">
        <v>902</v>
      </c>
      <c r="C28" t="s">
        <v>904</v>
      </c>
      <c r="D28" s="323">
        <v>54900</v>
      </c>
      <c r="E28" s="321"/>
      <c r="F28" s="321"/>
      <c r="G28" s="323">
        <v>396000</v>
      </c>
      <c r="H28" s="323">
        <v>119000</v>
      </c>
      <c r="I28" s="323">
        <v>6640</v>
      </c>
      <c r="J28" s="323">
        <v>1560000</v>
      </c>
      <c r="K28" s="323">
        <v>265000</v>
      </c>
      <c r="L28" s="323">
        <v>70900</v>
      </c>
      <c r="M28" s="114">
        <f t="shared" si="8"/>
        <v>2472440</v>
      </c>
      <c r="N28" s="35">
        <f t="shared" si="9"/>
        <v>76.681335037452882</v>
      </c>
      <c r="O28" s="35">
        <f t="shared" si="10"/>
        <v>21.098186406950219</v>
      </c>
      <c r="P28" s="35">
        <f t="shared" si="11"/>
        <v>2.2204785555969</v>
      </c>
      <c r="Q28" s="35">
        <f t="shared" si="12"/>
        <v>0.21456827891766445</v>
      </c>
      <c r="R28" s="35">
        <f t="shared" si="13"/>
        <v>0.25358484778774631</v>
      </c>
      <c r="S28" s="35"/>
      <c r="T28" s="35"/>
      <c r="U28" s="35">
        <f t="shared" si="14"/>
        <v>0</v>
      </c>
      <c r="V28" s="35">
        <f t="shared" si="15"/>
        <v>0</v>
      </c>
    </row>
    <row r="29" spans="1:22" x14ac:dyDescent="0.2">
      <c r="A29" s="632" t="s">
        <v>892</v>
      </c>
      <c r="B29" t="s">
        <v>902</v>
      </c>
      <c r="C29" t="s">
        <v>904</v>
      </c>
      <c r="D29" s="323">
        <v>36100</v>
      </c>
      <c r="E29" s="321"/>
      <c r="F29" s="321"/>
      <c r="G29" s="323">
        <v>361000</v>
      </c>
      <c r="H29" s="323">
        <v>36400</v>
      </c>
      <c r="I29" s="323">
        <v>4160</v>
      </c>
      <c r="J29" s="323">
        <v>2250000</v>
      </c>
      <c r="K29" s="323">
        <v>293000</v>
      </c>
      <c r="L29" s="323">
        <v>86900</v>
      </c>
      <c r="M29" s="114">
        <f t="shared" si="8"/>
        <v>3067560</v>
      </c>
      <c r="N29" s="35">
        <f t="shared" si="9"/>
        <v>85.732634406498974</v>
      </c>
      <c r="O29" s="35">
        <f t="shared" si="10"/>
        <v>13.090534496472767</v>
      </c>
      <c r="P29" s="35">
        <f t="shared" si="11"/>
        <v>1.1768310970282569</v>
      </c>
      <c r="Q29" s="35">
        <f t="shared" si="12"/>
        <v>0.17749724324118787</v>
      </c>
      <c r="R29" s="35">
        <f t="shared" si="13"/>
        <v>0.11136567387189959</v>
      </c>
      <c r="S29" s="35"/>
      <c r="T29" s="35"/>
      <c r="U29" s="35">
        <f t="shared" si="14"/>
        <v>0</v>
      </c>
      <c r="V29" s="35">
        <f t="shared" si="15"/>
        <v>0</v>
      </c>
    </row>
    <row r="30" spans="1:22" x14ac:dyDescent="0.2">
      <c r="A30" s="632" t="s">
        <v>893</v>
      </c>
      <c r="B30" t="s">
        <v>902</v>
      </c>
      <c r="C30" t="s">
        <v>904</v>
      </c>
      <c r="D30" s="88">
        <v>9.492469307682572E-3</v>
      </c>
      <c r="G30" s="88">
        <v>2.5756233388178711E-2</v>
      </c>
      <c r="H30" s="88">
        <v>9.5557524364004564E-3</v>
      </c>
      <c r="I30" s="88">
        <v>2.4870269586128339E-3</v>
      </c>
      <c r="J30" s="88">
        <v>8.4166561194785466E-2</v>
      </c>
      <c r="K30" s="88">
        <v>9.8721680799898747E-3</v>
      </c>
      <c r="L30" s="88">
        <v>4.3475509429186177E-3</v>
      </c>
      <c r="M30" s="114">
        <f t="shared" si="8"/>
        <v>0.14567776230856852</v>
      </c>
      <c r="N30" s="35">
        <f t="shared" si="9"/>
        <v>67.53692441355345</v>
      </c>
      <c r="O30" s="35">
        <f t="shared" si="10"/>
        <v>25.947002606429194</v>
      </c>
      <c r="P30" s="35">
        <f t="shared" si="11"/>
        <v>6.5160729800173778</v>
      </c>
      <c r="Q30" s="35">
        <f t="shared" si="12"/>
        <v>0.18871808065864795</v>
      </c>
      <c r="R30" s="35">
        <f t="shared" si="13"/>
        <v>0.38439645069479328</v>
      </c>
      <c r="S30" s="35"/>
      <c r="T30" s="35"/>
      <c r="U30" s="35">
        <f t="shared" si="14"/>
        <v>0</v>
      </c>
      <c r="V30" s="35">
        <f t="shared" si="15"/>
        <v>0</v>
      </c>
    </row>
    <row r="31" spans="1:22" x14ac:dyDescent="0.2">
      <c r="A31" s="632" t="s">
        <v>893</v>
      </c>
      <c r="B31" t="s">
        <v>902</v>
      </c>
      <c r="C31" t="s">
        <v>904</v>
      </c>
      <c r="D31" s="84">
        <v>5.9924201837410953E-3</v>
      </c>
      <c r="G31" s="84">
        <v>1.5973173006329743E-2</v>
      </c>
      <c r="H31" s="84">
        <v>7.4409191023275196E-3</v>
      </c>
      <c r="I31" s="84">
        <v>2.3612516618052664E-3</v>
      </c>
      <c r="J31" s="84">
        <v>0.10099807528225886</v>
      </c>
      <c r="K31" s="84">
        <v>1.3234914776673214E-2</v>
      </c>
      <c r="L31" s="84">
        <v>6.7265908685040779E-3</v>
      </c>
      <c r="M31" s="114">
        <f t="shared" si="8"/>
        <v>0.15272734488163978</v>
      </c>
      <c r="N31" s="35">
        <f t="shared" si="9"/>
        <v>79.199688190203972</v>
      </c>
      <c r="O31" s="35">
        <f t="shared" si="10"/>
        <v>16.876705209822006</v>
      </c>
      <c r="P31" s="35">
        <f t="shared" si="11"/>
        <v>3.9236065999740157</v>
      </c>
      <c r="Q31" s="35">
        <f t="shared" si="12"/>
        <v>0.22063648293963256</v>
      </c>
      <c r="R31" s="35">
        <f t="shared" si="13"/>
        <v>0.4719014626635874</v>
      </c>
      <c r="S31" s="35"/>
      <c r="T31" s="35"/>
      <c r="U31" s="35">
        <f t="shared" si="14"/>
        <v>0</v>
      </c>
      <c r="V31" s="35">
        <f t="shared" si="15"/>
        <v>0</v>
      </c>
    </row>
    <row r="32" spans="1:22" x14ac:dyDescent="0.2">
      <c r="A32" s="632" t="s">
        <v>893</v>
      </c>
      <c r="B32" t="s">
        <v>902</v>
      </c>
      <c r="C32" t="s">
        <v>904</v>
      </c>
      <c r="D32" s="84">
        <v>5.3329259065246493E-3</v>
      </c>
      <c r="G32" s="84">
        <v>1.8916244688900529E-2</v>
      </c>
      <c r="H32" s="84">
        <v>6.5624818113031837E-3</v>
      </c>
      <c r="I32" s="84">
        <v>2.211745532856062E-3</v>
      </c>
      <c r="J32" s="84">
        <v>9.749141493510273E-2</v>
      </c>
      <c r="K32" s="84">
        <v>1.2222804260520342E-2</v>
      </c>
      <c r="L32" s="84">
        <v>6.0313718642686686E-3</v>
      </c>
      <c r="M32" s="114">
        <f t="shared" si="8"/>
        <v>0.14876898899947613</v>
      </c>
      <c r="N32" s="35">
        <f t="shared" si="9"/>
        <v>77.802230046948367</v>
      </c>
      <c r="O32" s="35">
        <f t="shared" si="10"/>
        <v>18.613067292644761</v>
      </c>
      <c r="P32" s="35">
        <f t="shared" si="11"/>
        <v>3.584702660406887</v>
      </c>
      <c r="Q32" s="35">
        <f t="shared" si="12"/>
        <v>0.20981834181909612</v>
      </c>
      <c r="R32" s="35">
        <f t="shared" si="13"/>
        <v>0.39674198633736207</v>
      </c>
      <c r="S32" s="35"/>
      <c r="T32" s="35"/>
      <c r="U32" s="35">
        <f t="shared" si="14"/>
        <v>0</v>
      </c>
      <c r="V32" s="35">
        <f t="shared" si="15"/>
        <v>0</v>
      </c>
    </row>
    <row r="33" spans="1:22" x14ac:dyDescent="0.2">
      <c r="A33" s="632" t="s">
        <v>893</v>
      </c>
      <c r="B33" t="s">
        <v>902</v>
      </c>
      <c r="C33" t="s">
        <v>904</v>
      </c>
      <c r="D33" s="84">
        <v>4.8567625784589601E-3</v>
      </c>
      <c r="G33" s="84">
        <v>1.5719597963867168E-2</v>
      </c>
      <c r="H33" s="84">
        <v>4.7084644844602131E-3</v>
      </c>
      <c r="I33" s="84">
        <v>9.1574073044226197E-4</v>
      </c>
      <c r="J33" s="84">
        <v>0.14273691547379389</v>
      </c>
      <c r="K33" s="84">
        <v>1.2160443707897244E-2</v>
      </c>
      <c r="L33" s="84">
        <v>6.9700104179411032E-3</v>
      </c>
      <c r="M33" s="114">
        <f t="shared" si="8"/>
        <v>0.18806793535686081</v>
      </c>
      <c r="N33" s="35">
        <f t="shared" si="9"/>
        <v>86.068563092633127</v>
      </c>
      <c r="O33" s="35">
        <f t="shared" si="10"/>
        <v>11.348985747235201</v>
      </c>
      <c r="P33" s="35">
        <f t="shared" si="11"/>
        <v>2.5824511601316855</v>
      </c>
      <c r="Q33" s="35">
        <f t="shared" si="12"/>
        <v>0.16124599175446633</v>
      </c>
      <c r="R33" s="35">
        <f t="shared" si="13"/>
        <v>0.30640958832725379</v>
      </c>
      <c r="S33" s="35"/>
      <c r="T33" s="35"/>
      <c r="U33" s="35">
        <f t="shared" si="14"/>
        <v>0</v>
      </c>
      <c r="V33" s="35">
        <f t="shared" si="15"/>
        <v>0</v>
      </c>
    </row>
    <row r="34" spans="1:22" x14ac:dyDescent="0.2">
      <c r="A34" s="632" t="s">
        <v>893</v>
      </c>
      <c r="B34" t="s">
        <v>902</v>
      </c>
      <c r="C34" t="s">
        <v>904</v>
      </c>
      <c r="D34" s="84">
        <v>6.5510912865668911E-3</v>
      </c>
      <c r="G34" s="84">
        <v>1.8256349982418027E-2</v>
      </c>
      <c r="H34" s="84">
        <v>6.599261075438706E-3</v>
      </c>
      <c r="I34" s="84">
        <v>2.1628235203445105E-3</v>
      </c>
      <c r="J34" s="84">
        <v>0.15655181383339997</v>
      </c>
      <c r="K34" s="84">
        <v>1.5847860538827259E-2</v>
      </c>
      <c r="L34" s="84">
        <v>8.8632411524140284E-3</v>
      </c>
      <c r="M34" s="114">
        <f t="shared" si="8"/>
        <v>0.21483244138940938</v>
      </c>
      <c r="N34" s="35">
        <f t="shared" si="9"/>
        <v>84.374089105136889</v>
      </c>
      <c r="O34" s="35">
        <f t="shared" si="10"/>
        <v>12.576515168501537</v>
      </c>
      <c r="P34" s="35">
        <f t="shared" si="11"/>
        <v>3.0493957263615776</v>
      </c>
      <c r="Q34" s="35">
        <f t="shared" si="12"/>
        <v>0.18522455487642842</v>
      </c>
      <c r="R34" s="35">
        <f t="shared" si="13"/>
        <v>0.4043501515421643</v>
      </c>
      <c r="S34" s="35"/>
      <c r="T34" s="35"/>
      <c r="U34" s="35">
        <f t="shared" si="14"/>
        <v>0</v>
      </c>
      <c r="V34" s="35">
        <f t="shared" si="15"/>
        <v>0</v>
      </c>
    </row>
    <row r="35" spans="1:22" x14ac:dyDescent="0.2">
      <c r="A35" s="632" t="s">
        <v>893</v>
      </c>
      <c r="B35" t="s">
        <v>902</v>
      </c>
      <c r="C35" t="s">
        <v>904</v>
      </c>
      <c r="D35" s="84">
        <v>6.2413450098496226E-3</v>
      </c>
      <c r="G35" s="84">
        <v>2.0609441334607608E-2</v>
      </c>
      <c r="H35" s="84">
        <v>6.6964430834844909E-3</v>
      </c>
      <c r="I35" s="84">
        <v>2.2494847639666347E-3</v>
      </c>
      <c r="J35" s="84">
        <v>0.12027591946064377</v>
      </c>
      <c r="K35" s="84">
        <v>1.2482690019699245E-2</v>
      </c>
      <c r="L35" s="84">
        <v>5.7667427330589738E-3</v>
      </c>
      <c r="M35" s="114">
        <f t="shared" si="8"/>
        <v>0.17432206640531034</v>
      </c>
      <c r="N35" s="35">
        <f t="shared" si="9"/>
        <v>79.465184798418676</v>
      </c>
      <c r="O35" s="35">
        <f t="shared" si="10"/>
        <v>16.954462387647784</v>
      </c>
      <c r="P35" s="35">
        <f t="shared" si="11"/>
        <v>3.5803528139335397</v>
      </c>
      <c r="Q35" s="35">
        <f t="shared" si="12"/>
        <v>0.17337025390716665</v>
      </c>
      <c r="R35" s="35">
        <f t="shared" si="13"/>
        <v>0.37879454465464141</v>
      </c>
      <c r="S35" s="35"/>
      <c r="T35" s="35"/>
      <c r="U35" s="35">
        <f t="shared" si="14"/>
        <v>0</v>
      </c>
      <c r="V35" s="35">
        <f t="shared" si="15"/>
        <v>0</v>
      </c>
    </row>
    <row r="36" spans="1:22" x14ac:dyDescent="0.2">
      <c r="A36" s="632" t="s">
        <v>893</v>
      </c>
      <c r="B36" t="s">
        <v>902</v>
      </c>
      <c r="C36" t="s">
        <v>904</v>
      </c>
      <c r="D36" s="84">
        <v>5.2916206315054949E-3</v>
      </c>
      <c r="G36" s="84">
        <v>1.7599968986838788E-2</v>
      </c>
      <c r="H36" s="84">
        <v>6.02818321024985E-3</v>
      </c>
      <c r="I36" s="84">
        <v>2.2290709619894942E-3</v>
      </c>
      <c r="J36" s="84">
        <v>0.10040510941830939</v>
      </c>
      <c r="K36" s="84">
        <v>1.1591169002345371E-2</v>
      </c>
      <c r="L36" s="84">
        <v>5.9312670814676977E-3</v>
      </c>
      <c r="M36" s="114">
        <f t="shared" si="8"/>
        <v>0.14907638929270606</v>
      </c>
      <c r="N36" s="35">
        <f t="shared" si="9"/>
        <v>79.105447926147463</v>
      </c>
      <c r="O36" s="35">
        <f t="shared" si="10"/>
        <v>17.344948641269017</v>
      </c>
      <c r="P36" s="35">
        <f t="shared" si="11"/>
        <v>3.5496034325835395</v>
      </c>
      <c r="Q36" s="35">
        <f t="shared" si="12"/>
        <v>0.19888231426692968</v>
      </c>
      <c r="R36" s="35">
        <f t="shared" si="13"/>
        <v>0.40554722638680663</v>
      </c>
      <c r="S36" s="35"/>
      <c r="T36" s="35"/>
      <c r="U36" s="35">
        <f t="shared" si="14"/>
        <v>0</v>
      </c>
      <c r="V36" s="35">
        <f t="shared" si="15"/>
        <v>0</v>
      </c>
    </row>
    <row r="37" spans="1:22" x14ac:dyDescent="0.2">
      <c r="A37" s="632" t="s">
        <v>893</v>
      </c>
      <c r="B37" t="s">
        <v>902</v>
      </c>
      <c r="C37" t="s">
        <v>904</v>
      </c>
      <c r="D37" s="84">
        <v>4.3637961887420338E-3</v>
      </c>
      <c r="G37" s="84">
        <v>1.2306533136596239E-2</v>
      </c>
      <c r="H37" s="84">
        <v>4.6306470348161871E-3</v>
      </c>
      <c r="I37" s="84">
        <v>1.7109848365930995E-3</v>
      </c>
      <c r="J37" s="84">
        <v>7.4718236900762874E-2</v>
      </c>
      <c r="K37" s="84">
        <v>9.0886258751138038E-3</v>
      </c>
      <c r="L37" s="84">
        <v>4.72482968637177E-3</v>
      </c>
      <c r="M37" s="114">
        <f t="shared" si="8"/>
        <v>0.111543653658996</v>
      </c>
      <c r="N37" s="35">
        <f t="shared" si="9"/>
        <v>79.36954686180691</v>
      </c>
      <c r="O37" s="35">
        <f t="shared" si="10"/>
        <v>16.71826625386997</v>
      </c>
      <c r="P37" s="35">
        <f t="shared" si="11"/>
        <v>3.9121868843231078</v>
      </c>
      <c r="Q37" s="35">
        <f t="shared" si="12"/>
        <v>0.20939716312056739</v>
      </c>
      <c r="R37" s="35">
        <f t="shared" si="13"/>
        <v>0.43181818181818182</v>
      </c>
      <c r="S37" s="35"/>
      <c r="T37" s="35"/>
      <c r="U37" s="35">
        <f t="shared" si="14"/>
        <v>0</v>
      </c>
      <c r="V37" s="35">
        <f t="shared" si="15"/>
        <v>0</v>
      </c>
    </row>
    <row r="38" spans="1:22" x14ac:dyDescent="0.2">
      <c r="A38" s="632" t="s">
        <v>893</v>
      </c>
      <c r="B38" t="s">
        <v>902</v>
      </c>
      <c r="C38" t="s">
        <v>904</v>
      </c>
      <c r="D38" s="84">
        <v>4.9249475693380774E-3</v>
      </c>
      <c r="G38" s="84">
        <v>1.1369795225864222E-2</v>
      </c>
      <c r="H38" s="84">
        <v>4.3770766076772624E-3</v>
      </c>
      <c r="I38" s="84">
        <v>1.7555435115583101E-3</v>
      </c>
      <c r="J38" s="84">
        <v>8.4831632773287466E-2</v>
      </c>
      <c r="K38" s="84">
        <v>9.4257369748097179E-3</v>
      </c>
      <c r="L38" s="84">
        <v>5.5435115583099652E-3</v>
      </c>
      <c r="M38" s="114">
        <f t="shared" si="8"/>
        <v>0.12222824422084504</v>
      </c>
      <c r="N38" s="35">
        <f t="shared" si="9"/>
        <v>81.651243493348758</v>
      </c>
      <c r="O38" s="35">
        <f t="shared" si="10"/>
        <v>14.319452477347214</v>
      </c>
      <c r="P38" s="35">
        <f t="shared" si="11"/>
        <v>4.0293040293040283</v>
      </c>
      <c r="Q38" s="35">
        <f t="shared" si="12"/>
        <v>0.20553686323121417</v>
      </c>
      <c r="R38" s="35">
        <f t="shared" si="13"/>
        <v>0.45069000336587001</v>
      </c>
      <c r="S38" s="35"/>
      <c r="T38" s="35"/>
      <c r="U38" s="35">
        <f t="shared" si="14"/>
        <v>0</v>
      </c>
      <c r="V38" s="35">
        <f t="shared" si="15"/>
        <v>0</v>
      </c>
    </row>
    <row r="39" spans="1:22" x14ac:dyDescent="0.2">
      <c r="A39" s="632" t="s">
        <v>893</v>
      </c>
      <c r="B39" t="s">
        <v>902</v>
      </c>
      <c r="C39" t="s">
        <v>904</v>
      </c>
      <c r="D39" s="85">
        <v>4.6953774407009641E-3</v>
      </c>
      <c r="G39" s="85">
        <v>1.6314447039723689E-2</v>
      </c>
      <c r="H39" s="85">
        <v>5.4912041255655341E-3</v>
      </c>
      <c r="I39" s="85">
        <v>1.9935458455857483E-3</v>
      </c>
      <c r="J39" s="85">
        <v>8.5153455280509008E-2</v>
      </c>
      <c r="K39" s="85">
        <v>9.8284595580774414E-3</v>
      </c>
      <c r="L39" s="85">
        <v>5.0932907831332495E-3</v>
      </c>
      <c r="M39" s="114">
        <f t="shared" si="8"/>
        <v>0.12856978007329564</v>
      </c>
      <c r="N39" s="35">
        <f t="shared" si="9"/>
        <v>77.837269041502893</v>
      </c>
      <c r="O39" s="35">
        <f t="shared" si="10"/>
        <v>18.510723902076691</v>
      </c>
      <c r="P39" s="35">
        <f t="shared" si="11"/>
        <v>3.6520070564204135</v>
      </c>
      <c r="Q39" s="35">
        <f t="shared" si="12"/>
        <v>0.2</v>
      </c>
      <c r="R39" s="35">
        <f t="shared" si="13"/>
        <v>0.39826116034108011</v>
      </c>
      <c r="S39" s="35"/>
      <c r="T39" s="35"/>
      <c r="U39" s="35">
        <f t="shared" si="14"/>
        <v>0</v>
      </c>
      <c r="V39" s="35">
        <f t="shared" si="15"/>
        <v>0</v>
      </c>
    </row>
    <row r="40" spans="1:22" x14ac:dyDescent="0.2">
      <c r="A40" s="632" t="s">
        <v>893</v>
      </c>
      <c r="B40" t="s">
        <v>902</v>
      </c>
      <c r="C40" t="s">
        <v>904</v>
      </c>
      <c r="D40" s="85">
        <v>4.6678824173927401E-3</v>
      </c>
      <c r="G40" s="85">
        <v>8.8554682516453903E-3</v>
      </c>
      <c r="H40" s="85">
        <v>6.4990131406143297E-3</v>
      </c>
      <c r="I40" s="85">
        <v>1.9286909666719199E-3</v>
      </c>
      <c r="J40" s="85">
        <v>7.0693653330931847E-2</v>
      </c>
      <c r="K40" s="85">
        <v>9.305746298339225E-3</v>
      </c>
      <c r="L40" s="85">
        <v>4.9980863183015515E-3</v>
      </c>
      <c r="M40" s="114">
        <f t="shared" si="8"/>
        <v>0.10694854072389699</v>
      </c>
      <c r="N40" s="35">
        <f t="shared" si="9"/>
        <v>79.475124552662976</v>
      </c>
      <c r="O40" s="35">
        <f t="shared" si="10"/>
        <v>16.160269454775104</v>
      </c>
      <c r="P40" s="35">
        <f t="shared" si="11"/>
        <v>4.3646059925619261</v>
      </c>
      <c r="Q40" s="35">
        <f t="shared" si="12"/>
        <v>0.22708811583966093</v>
      </c>
      <c r="R40" s="35">
        <f t="shared" si="13"/>
        <v>0.59921841076856275</v>
      </c>
      <c r="S40" s="35"/>
      <c r="T40" s="35"/>
      <c r="U40" s="35">
        <f t="shared" si="14"/>
        <v>0</v>
      </c>
      <c r="V40" s="35">
        <f t="shared" si="15"/>
        <v>0</v>
      </c>
    </row>
    <row r="41" spans="1:22" x14ac:dyDescent="0.2">
      <c r="A41" s="632" t="s">
        <v>893</v>
      </c>
      <c r="B41" t="s">
        <v>902</v>
      </c>
      <c r="C41" t="s">
        <v>904</v>
      </c>
      <c r="D41" s="85">
        <v>4.6548323471400392E-3</v>
      </c>
      <c r="G41" s="85">
        <v>1.3096646942800789E-2</v>
      </c>
      <c r="H41" s="85">
        <v>5.5358316896778432E-3</v>
      </c>
      <c r="I41" s="85">
        <v>1.6962524654832347E-3</v>
      </c>
      <c r="J41" s="85">
        <v>7.3898750821827744E-2</v>
      </c>
      <c r="K41" s="85">
        <v>8.5601577909270223E-3</v>
      </c>
      <c r="L41" s="85">
        <v>4.9835634451019066E-3</v>
      </c>
      <c r="M41" s="114">
        <f t="shared" si="8"/>
        <v>0.11242603550295857</v>
      </c>
      <c r="N41" s="35">
        <f t="shared" si="9"/>
        <v>77.777777777777786</v>
      </c>
      <c r="O41" s="35">
        <f t="shared" si="10"/>
        <v>18.081871345029242</v>
      </c>
      <c r="P41" s="35">
        <f t="shared" si="11"/>
        <v>4.140350877192982</v>
      </c>
      <c r="Q41" s="35">
        <f t="shared" si="12"/>
        <v>0.21187969924812033</v>
      </c>
      <c r="R41" s="35">
        <f t="shared" si="13"/>
        <v>0.43919793014230268</v>
      </c>
      <c r="S41" s="35"/>
      <c r="T41" s="35"/>
      <c r="U41" s="35">
        <f t="shared" si="14"/>
        <v>0</v>
      </c>
      <c r="V41" s="35">
        <f t="shared" si="15"/>
        <v>0</v>
      </c>
    </row>
    <row r="42" spans="1:22" x14ac:dyDescent="0.2">
      <c r="A42" s="632" t="s">
        <v>893</v>
      </c>
      <c r="B42" t="s">
        <v>902</v>
      </c>
      <c r="C42" t="s">
        <v>904</v>
      </c>
      <c r="D42" s="85">
        <v>4.4663187024906294E-3</v>
      </c>
      <c r="G42" s="85">
        <v>7.9693137632675937E-3</v>
      </c>
      <c r="H42" s="85">
        <v>4.422531264230917E-3</v>
      </c>
      <c r="I42" s="85">
        <v>1.6113777279574035E-3</v>
      </c>
      <c r="J42" s="85">
        <v>6.261603671138824E-2</v>
      </c>
      <c r="K42" s="85">
        <v>8.4071881458647139E-3</v>
      </c>
      <c r="L42" s="85">
        <v>4.1072617087609909E-3</v>
      </c>
      <c r="M42" s="114">
        <f t="shared" si="8"/>
        <v>9.3600028023960502E-2</v>
      </c>
      <c r="N42" s="35">
        <f t="shared" si="9"/>
        <v>80.267589820359291</v>
      </c>
      <c r="O42" s="35">
        <f t="shared" si="10"/>
        <v>14.960703592814367</v>
      </c>
      <c r="P42" s="35">
        <f t="shared" si="11"/>
        <v>4.7717065868263466</v>
      </c>
      <c r="Q42" s="35">
        <f t="shared" si="12"/>
        <v>0.22123790651591091</v>
      </c>
      <c r="R42" s="35">
        <f t="shared" si="13"/>
        <v>0.54596622889305813</v>
      </c>
      <c r="S42" s="35"/>
      <c r="T42" s="35"/>
      <c r="U42" s="35">
        <f t="shared" si="14"/>
        <v>0</v>
      </c>
      <c r="V42" s="35">
        <f t="shared" si="15"/>
        <v>0</v>
      </c>
    </row>
    <row r="43" spans="1:22" x14ac:dyDescent="0.2">
      <c r="A43" s="632" t="s">
        <v>893</v>
      </c>
      <c r="B43" t="s">
        <v>902</v>
      </c>
      <c r="C43" t="s">
        <v>904</v>
      </c>
      <c r="D43" s="85">
        <v>3.1034506278519347E-3</v>
      </c>
      <c r="G43" s="85">
        <v>7.0936014350901364E-3</v>
      </c>
      <c r="H43" s="85">
        <v>4.4539632087633261E-3</v>
      </c>
      <c r="I43" s="85">
        <v>2.0871558068630593E-3</v>
      </c>
      <c r="J43" s="85">
        <v>4.1947739255581096E-2</v>
      </c>
      <c r="K43" s="85">
        <v>8.5259632633294911E-3</v>
      </c>
      <c r="L43" s="85">
        <v>5.1633233522723398E-3</v>
      </c>
      <c r="M43" s="114">
        <f t="shared" si="8"/>
        <v>7.2375196949751378E-2</v>
      </c>
      <c r="N43" s="35">
        <f t="shared" si="9"/>
        <v>76.873056262369261</v>
      </c>
      <c r="O43" s="35">
        <f t="shared" si="10"/>
        <v>18.838940721892378</v>
      </c>
      <c r="P43" s="35">
        <f t="shared" si="11"/>
        <v>4.2880030157383846</v>
      </c>
      <c r="Q43" s="35">
        <f t="shared" si="12"/>
        <v>0.33885006742675</v>
      </c>
      <c r="R43" s="35">
        <f t="shared" si="13"/>
        <v>0.63281640820410201</v>
      </c>
      <c r="S43" s="35"/>
      <c r="T43" s="35"/>
      <c r="U43" s="35">
        <f t="shared" si="14"/>
        <v>0</v>
      </c>
      <c r="V43" s="35">
        <f t="shared" si="15"/>
        <v>0</v>
      </c>
    </row>
    <row r="44" spans="1:22" x14ac:dyDescent="0.2">
      <c r="A44" s="632" t="s">
        <v>893</v>
      </c>
      <c r="B44" t="s">
        <v>902</v>
      </c>
      <c r="C44" t="s">
        <v>904</v>
      </c>
      <c r="D44" s="85">
        <v>3.0955895634409004E-3</v>
      </c>
      <c r="G44" s="85">
        <v>9.2805401398932431E-3</v>
      </c>
      <c r="H44" s="85">
        <v>4.4783277587806987E-3</v>
      </c>
      <c r="I44" s="85">
        <v>1.9744504861383609E-3</v>
      </c>
      <c r="J44" s="85">
        <v>5.1510112051622224E-2</v>
      </c>
      <c r="K44" s="85">
        <v>8.346257575474459E-3</v>
      </c>
      <c r="L44" s="85">
        <v>5.7178092942429511E-3</v>
      </c>
      <c r="M44" s="114">
        <f t="shared" si="8"/>
        <v>8.4403086869592844E-2</v>
      </c>
      <c r="N44" s="35">
        <f t="shared" si="9"/>
        <v>77.691683270607342</v>
      </c>
      <c r="O44" s="35">
        <f t="shared" si="10"/>
        <v>18.640690723931812</v>
      </c>
      <c r="P44" s="35">
        <f t="shared" si="11"/>
        <v>3.6676260054608516</v>
      </c>
      <c r="Q44" s="35">
        <f t="shared" si="12"/>
        <v>0.30167173252279633</v>
      </c>
      <c r="R44" s="35">
        <f t="shared" si="13"/>
        <v>0.53562945368171022</v>
      </c>
      <c r="S44" s="35"/>
      <c r="T44" s="35"/>
      <c r="U44" s="35">
        <f t="shared" si="14"/>
        <v>0</v>
      </c>
      <c r="V44" s="35">
        <f t="shared" si="15"/>
        <v>0</v>
      </c>
    </row>
    <row r="45" spans="1:22" x14ac:dyDescent="0.2">
      <c r="A45" s="632" t="s">
        <v>893</v>
      </c>
      <c r="B45" t="s">
        <v>902</v>
      </c>
      <c r="C45" t="s">
        <v>904</v>
      </c>
      <c r="D45" s="86">
        <v>3.5847556126506392E-3</v>
      </c>
      <c r="G45" s="86">
        <v>1.4926286168715972E-2</v>
      </c>
      <c r="H45" s="86">
        <v>3.9762647580595832E-3</v>
      </c>
      <c r="I45" s="86">
        <v>1.2968740441671254E-3</v>
      </c>
      <c r="J45" s="86">
        <v>5.5667706612834156E-2</v>
      </c>
      <c r="K45" s="86">
        <v>6.5455435248057744E-3</v>
      </c>
      <c r="L45" s="86">
        <v>3.7438062029730226E-3</v>
      </c>
      <c r="M45" s="114">
        <f t="shared" si="8"/>
        <v>8.9741236924206269E-2</v>
      </c>
      <c r="N45" s="35">
        <f t="shared" si="9"/>
        <v>73.496932515337434</v>
      </c>
      <c r="O45" s="35">
        <f t="shared" si="10"/>
        <v>22.508520790729385</v>
      </c>
      <c r="P45" s="35">
        <f t="shared" si="11"/>
        <v>3.9945466939331973</v>
      </c>
      <c r="Q45" s="35">
        <f t="shared" si="12"/>
        <v>0.21276201075867188</v>
      </c>
      <c r="R45" s="35">
        <f t="shared" si="13"/>
        <v>0.32525741974560873</v>
      </c>
      <c r="S45" s="35"/>
      <c r="T45" s="35"/>
      <c r="U45" s="35">
        <f t="shared" si="14"/>
        <v>0</v>
      </c>
      <c r="V45" s="35">
        <f t="shared" si="15"/>
        <v>0</v>
      </c>
    </row>
    <row r="46" spans="1:22" x14ac:dyDescent="0.2">
      <c r="A46" s="632" t="s">
        <v>893</v>
      </c>
      <c r="B46" t="s">
        <v>902</v>
      </c>
      <c r="C46" t="s">
        <v>904</v>
      </c>
      <c r="D46" s="86">
        <v>8.5357361751558728E-3</v>
      </c>
      <c r="G46" s="86">
        <v>1.7167740051535308E-2</v>
      </c>
      <c r="H46" s="86">
        <v>5.1342773985899991E-3</v>
      </c>
      <c r="I46" s="86">
        <v>1.7231918519017685E-3</v>
      </c>
      <c r="J46" s="86">
        <v>3.3693695428246871E-2</v>
      </c>
      <c r="K46" s="86">
        <v>4.1395111526131871E-3</v>
      </c>
      <c r="L46" s="86">
        <v>2.2269928216384119E-3</v>
      </c>
      <c r="M46" s="114">
        <f t="shared" si="8"/>
        <v>7.262114487968141E-2</v>
      </c>
      <c r="N46" s="35">
        <f t="shared" si="9"/>
        <v>55.163271618576303</v>
      </c>
      <c r="O46" s="35">
        <f t="shared" si="10"/>
        <v>33.082939331006145</v>
      </c>
      <c r="P46" s="35">
        <f t="shared" si="11"/>
        <v>11.75378905041757</v>
      </c>
      <c r="Q46" s="35">
        <f t="shared" si="12"/>
        <v>0.21451457866068566</v>
      </c>
      <c r="R46" s="35">
        <f t="shared" si="13"/>
        <v>0.35715239748898092</v>
      </c>
      <c r="S46" s="35"/>
      <c r="T46" s="35"/>
      <c r="U46" s="35">
        <f t="shared" si="14"/>
        <v>0</v>
      </c>
      <c r="V46" s="35">
        <f t="shared" si="15"/>
        <v>0</v>
      </c>
    </row>
    <row r="47" spans="1:22" x14ac:dyDescent="0.2">
      <c r="A47" s="632" t="s">
        <v>893</v>
      </c>
      <c r="B47" t="s">
        <v>902</v>
      </c>
      <c r="C47" t="s">
        <v>904</v>
      </c>
      <c r="D47" s="85">
        <v>7.2594398769021294E-3</v>
      </c>
      <c r="G47" s="85">
        <v>1.2191690893744726E-2</v>
      </c>
      <c r="H47" s="85">
        <v>4.3765044233955424E-3</v>
      </c>
      <c r="I47" s="85">
        <v>1.5699841264879247E-3</v>
      </c>
      <c r="J47" s="85">
        <v>2.7231583078905598E-2</v>
      </c>
      <c r="K47" s="85">
        <v>3.9249603162198115E-3</v>
      </c>
      <c r="L47" s="85">
        <v>2.1500446333982863E-3</v>
      </c>
      <c r="M47" s="114">
        <f t="shared" si="8"/>
        <v>5.8704207349054023E-2</v>
      </c>
      <c r="N47" s="35">
        <f t="shared" si="9"/>
        <v>56.736287793621678</v>
      </c>
      <c r="O47" s="35">
        <f t="shared" si="10"/>
        <v>30.897580024850598</v>
      </c>
      <c r="P47" s="35">
        <f t="shared" si="11"/>
        <v>12.366132181527718</v>
      </c>
      <c r="Q47" s="35">
        <f t="shared" si="12"/>
        <v>0.2469496297841276</v>
      </c>
      <c r="R47" s="35">
        <f t="shared" si="13"/>
        <v>0.41440061279203372</v>
      </c>
      <c r="S47" s="35"/>
      <c r="T47" s="35"/>
      <c r="U47" s="35">
        <f t="shared" si="14"/>
        <v>0</v>
      </c>
      <c r="V47" s="35">
        <f t="shared" si="15"/>
        <v>0</v>
      </c>
    </row>
    <row r="48" spans="1:22" x14ac:dyDescent="0.2">
      <c r="A48" s="632" t="s">
        <v>893</v>
      </c>
      <c r="B48" t="s">
        <v>902</v>
      </c>
      <c r="C48" t="s">
        <v>904</v>
      </c>
      <c r="D48" s="85">
        <v>3.5820151690555422E-3</v>
      </c>
      <c r="G48" s="85">
        <v>7.2678568647503751E-3</v>
      </c>
      <c r="H48" s="85">
        <v>3.1667090624983778E-3</v>
      </c>
      <c r="I48" s="85">
        <v>9.638562556347521E-4</v>
      </c>
      <c r="J48" s="85">
        <v>2.5783587448757282E-2</v>
      </c>
      <c r="K48" s="85">
        <v>6.0565473872919795E-3</v>
      </c>
      <c r="L48" s="85">
        <v>4.8971511731532285E-3</v>
      </c>
      <c r="M48" s="114">
        <f t="shared" si="8"/>
        <v>5.1717723361141534E-2</v>
      </c>
      <c r="N48" s="35">
        <f t="shared" si="9"/>
        <v>71.034228928965774</v>
      </c>
      <c r="O48" s="35">
        <f t="shared" si="10"/>
        <v>22.039682805233046</v>
      </c>
      <c r="P48" s="35">
        <f t="shared" si="11"/>
        <v>6.9260882658011846</v>
      </c>
      <c r="Q48" s="35">
        <f t="shared" si="12"/>
        <v>0.43146490814884592</v>
      </c>
      <c r="R48" s="35">
        <f t="shared" si="13"/>
        <v>0.44694094428419617</v>
      </c>
      <c r="S48" s="35"/>
      <c r="T48" s="35"/>
      <c r="U48" s="35">
        <f t="shared" si="14"/>
        <v>0</v>
      </c>
      <c r="V48" s="35">
        <f t="shared" si="15"/>
        <v>0</v>
      </c>
    </row>
    <row r="49" spans="1:22" x14ac:dyDescent="0.2">
      <c r="A49" s="632" t="s">
        <v>893</v>
      </c>
      <c r="B49" t="s">
        <v>902</v>
      </c>
      <c r="C49" t="s">
        <v>904</v>
      </c>
      <c r="D49" s="86">
        <v>0</v>
      </c>
      <c r="G49" s="86">
        <v>1.1764604855261011E-2</v>
      </c>
      <c r="H49" s="86">
        <v>4.9548737237121191E-3</v>
      </c>
      <c r="I49" s="86">
        <v>2.1811749147710195E-3</v>
      </c>
      <c r="J49" s="86">
        <v>6.1914453289366345E-2</v>
      </c>
      <c r="K49" s="86">
        <v>1.1506985770839237E-2</v>
      </c>
      <c r="L49" s="86">
        <v>1.4598414783900525E-2</v>
      </c>
      <c r="M49" s="114">
        <f t="shared" si="8"/>
        <v>0.10692050733785025</v>
      </c>
      <c r="N49" s="35">
        <f t="shared" si="9"/>
        <v>82.322705003614175</v>
      </c>
      <c r="O49" s="35">
        <f t="shared" si="10"/>
        <v>17.677294996385832</v>
      </c>
      <c r="P49" s="35">
        <f t="shared" si="11"/>
        <v>0</v>
      </c>
      <c r="Q49" s="35">
        <f t="shared" si="12"/>
        <v>0.46243902439024392</v>
      </c>
      <c r="R49" s="35">
        <f t="shared" si="13"/>
        <v>0.49295774647887319</v>
      </c>
      <c r="S49" s="35"/>
      <c r="T49" s="35"/>
      <c r="U49" s="35">
        <f t="shared" si="14"/>
        <v>0</v>
      </c>
      <c r="V49" s="35"/>
    </row>
    <row r="50" spans="1:22" x14ac:dyDescent="0.2">
      <c r="A50" s="632" t="s">
        <v>893</v>
      </c>
      <c r="B50" t="s">
        <v>902</v>
      </c>
      <c r="C50" t="s">
        <v>904</v>
      </c>
      <c r="D50" s="85">
        <v>1.3955111059425514E-2</v>
      </c>
      <c r="G50" s="85">
        <v>2.0932666589138272E-2</v>
      </c>
      <c r="H50" s="85">
        <v>6.5899135558398266E-3</v>
      </c>
      <c r="I50" s="85">
        <v>1.5505678954917238E-3</v>
      </c>
      <c r="J50" s="85">
        <v>3.5585533201535062E-2</v>
      </c>
      <c r="K50" s="85">
        <v>4.4501298600612476E-3</v>
      </c>
      <c r="L50" s="85">
        <v>2.1010194983912857E-3</v>
      </c>
      <c r="M50" s="114">
        <f t="shared" si="8"/>
        <v>8.516494165988292E-2</v>
      </c>
      <c r="N50" s="35">
        <f t="shared" si="9"/>
        <v>49.47655894401457</v>
      </c>
      <c r="O50" s="35">
        <f t="shared" si="10"/>
        <v>34.137460172963138</v>
      </c>
      <c r="P50" s="35">
        <f t="shared" si="11"/>
        <v>16.385980883022306</v>
      </c>
      <c r="Q50" s="35">
        <f t="shared" si="12"/>
        <v>0.20533578656853729</v>
      </c>
      <c r="R50" s="35">
        <f t="shared" si="13"/>
        <v>0.33333333333333337</v>
      </c>
      <c r="S50" s="35"/>
      <c r="T50" s="35"/>
      <c r="U50" s="35">
        <f t="shared" si="14"/>
        <v>0</v>
      </c>
      <c r="V50" s="35">
        <f t="shared" si="15"/>
        <v>0</v>
      </c>
    </row>
    <row r="51" spans="1:22" x14ac:dyDescent="0.2">
      <c r="A51" s="632" t="s">
        <v>893</v>
      </c>
      <c r="B51" t="s">
        <v>902</v>
      </c>
      <c r="C51" t="s">
        <v>904</v>
      </c>
      <c r="D51" s="86">
        <v>2.1876592046510233E-2</v>
      </c>
      <c r="G51" s="86">
        <v>2.2376057618348367E-2</v>
      </c>
      <c r="H51" s="86">
        <v>6.8426783341824244E-3</v>
      </c>
      <c r="I51" s="86">
        <v>1.0288990779865543E-3</v>
      </c>
      <c r="J51" s="86">
        <v>3.9407833618028708E-2</v>
      </c>
      <c r="K51" s="86">
        <v>3.1016812011148073E-3</v>
      </c>
      <c r="L51" s="86">
        <v>1.3335730768078155E-3</v>
      </c>
      <c r="M51" s="114">
        <f t="shared" si="8"/>
        <v>9.5967314972978918E-2</v>
      </c>
      <c r="N51" s="35">
        <f t="shared" si="9"/>
        <v>45.685437701675859</v>
      </c>
      <c r="O51" s="35">
        <f t="shared" si="10"/>
        <v>31.518684292703234</v>
      </c>
      <c r="P51" s="35">
        <f t="shared" si="11"/>
        <v>22.795878005620899</v>
      </c>
      <c r="Q51" s="35">
        <f t="shared" si="12"/>
        <v>0.13157894736842105</v>
      </c>
      <c r="R51" s="35">
        <f t="shared" si="13"/>
        <v>0.29425363276089828</v>
      </c>
      <c r="S51" s="35"/>
      <c r="T51" s="35"/>
      <c r="U51" s="35">
        <f t="shared" si="14"/>
        <v>0</v>
      </c>
      <c r="V51" s="35">
        <f t="shared" si="15"/>
        <v>0</v>
      </c>
    </row>
    <row r="52" spans="1:22" x14ac:dyDescent="0.2">
      <c r="A52" s="632" t="s">
        <v>893</v>
      </c>
      <c r="B52" t="s">
        <v>902</v>
      </c>
      <c r="C52" t="s">
        <v>904</v>
      </c>
      <c r="D52" s="86">
        <v>2.1813275837068699E-2</v>
      </c>
      <c r="G52" s="86">
        <v>2.5595924826155757E-2</v>
      </c>
      <c r="H52" s="86">
        <v>7.9435628770828208E-3</v>
      </c>
      <c r="I52" s="86">
        <v>1.1726211866169879E-3</v>
      </c>
      <c r="J52" s="86">
        <v>4.2365668677775047E-2</v>
      </c>
      <c r="K52" s="86">
        <v>4.2176536228320689E-3</v>
      </c>
      <c r="L52" s="86">
        <v>1.6643655551983054E-3</v>
      </c>
      <c r="M52" s="114">
        <f t="shared" si="8"/>
        <v>0.10477307258272968</v>
      </c>
      <c r="N52" s="35">
        <f t="shared" si="9"/>
        <v>46.049702148143695</v>
      </c>
      <c r="O52" s="35">
        <f t="shared" si="10"/>
        <v>33.130753956315068</v>
      </c>
      <c r="P52" s="35">
        <f t="shared" si="11"/>
        <v>20.819543895541248</v>
      </c>
      <c r="Q52" s="35">
        <f t="shared" si="12"/>
        <v>0.15640925127401017</v>
      </c>
      <c r="R52" s="35">
        <f t="shared" si="13"/>
        <v>0.29640392299309842</v>
      </c>
      <c r="S52" s="35"/>
      <c r="T52" s="35"/>
      <c r="U52" s="35">
        <f t="shared" si="14"/>
        <v>0</v>
      </c>
      <c r="V52" s="35">
        <f t="shared" si="15"/>
        <v>0</v>
      </c>
    </row>
    <row r="53" spans="1:22" x14ac:dyDescent="0.2">
      <c r="A53" s="632" t="s">
        <v>893</v>
      </c>
      <c r="B53" t="s">
        <v>902</v>
      </c>
      <c r="C53" t="s">
        <v>904</v>
      </c>
      <c r="D53" s="85">
        <v>2.5416134901023707E-2</v>
      </c>
      <c r="G53" s="85">
        <v>2.438428327042659E-2</v>
      </c>
      <c r="H53" s="85">
        <v>8.2005050642191876E-3</v>
      </c>
      <c r="I53" s="85">
        <v>1.0209900344855677E-3</v>
      </c>
      <c r="J53" s="85">
        <v>4.5021315882368913E-2</v>
      </c>
      <c r="K53" s="85">
        <v>3.8124202351535559E-3</v>
      </c>
      <c r="L53" s="85">
        <v>1.4934694653379315E-3</v>
      </c>
      <c r="M53" s="114">
        <f t="shared" si="8"/>
        <v>0.10934911885301546</v>
      </c>
      <c r="N53" s="35">
        <f t="shared" si="9"/>
        <v>46.024335733796867</v>
      </c>
      <c r="O53" s="35">
        <f t="shared" si="10"/>
        <v>30.73255525204867</v>
      </c>
      <c r="P53" s="35">
        <f t="shared" si="11"/>
        <v>23.243109014154456</v>
      </c>
      <c r="Q53" s="35">
        <f t="shared" si="12"/>
        <v>0.13510305384698393</v>
      </c>
      <c r="R53" s="35">
        <f t="shared" si="13"/>
        <v>0.30478345184227534</v>
      </c>
      <c r="S53" s="35"/>
      <c r="T53" s="35"/>
      <c r="U53" s="35">
        <f t="shared" si="14"/>
        <v>0</v>
      </c>
      <c r="V53" s="35">
        <f t="shared" si="15"/>
        <v>0</v>
      </c>
    </row>
    <row r="54" spans="1:22" x14ac:dyDescent="0.2">
      <c r="A54" s="632" t="s">
        <v>893</v>
      </c>
      <c r="B54" t="s">
        <v>902</v>
      </c>
      <c r="C54" t="s">
        <v>904</v>
      </c>
      <c r="D54" s="85">
        <v>1.7721174764321973E-2</v>
      </c>
      <c r="G54" s="85">
        <v>1.6950688905003626E-2</v>
      </c>
      <c r="H54" s="85">
        <v>7.2063089195068888E-3</v>
      </c>
      <c r="I54" s="85">
        <v>6.6624365482233498E-4</v>
      </c>
      <c r="J54" s="85">
        <v>4.6682378535170412E-2</v>
      </c>
      <c r="K54" s="85">
        <v>3.0230239303843365E-3</v>
      </c>
      <c r="L54" s="85">
        <v>1.2962291515591009E-3</v>
      </c>
      <c r="M54" s="114">
        <f t="shared" si="8"/>
        <v>9.3546047860768658E-2</v>
      </c>
      <c r="N54" s="35">
        <f t="shared" si="9"/>
        <v>54.520348837209312</v>
      </c>
      <c r="O54" s="35">
        <f t="shared" si="10"/>
        <v>26.535852713178297</v>
      </c>
      <c r="P54" s="35">
        <f t="shared" si="11"/>
        <v>18.943798449612405</v>
      </c>
      <c r="Q54" s="35">
        <f t="shared" si="12"/>
        <v>0.11010397227406025</v>
      </c>
      <c r="R54" s="35">
        <f t="shared" si="13"/>
        <v>0.34398393280993239</v>
      </c>
      <c r="S54" s="35"/>
      <c r="T54" s="35"/>
      <c r="U54" s="35">
        <f t="shared" si="14"/>
        <v>0</v>
      </c>
      <c r="V54" s="35">
        <f t="shared" si="15"/>
        <v>0</v>
      </c>
    </row>
    <row r="55" spans="1:22" x14ac:dyDescent="0.2">
      <c r="A55" s="632" t="s">
        <v>893</v>
      </c>
      <c r="B55" t="s">
        <v>902</v>
      </c>
      <c r="C55" t="s">
        <v>904</v>
      </c>
      <c r="D55" s="85">
        <v>1.8327877265255137E-2</v>
      </c>
      <c r="G55" s="85">
        <v>2.12885343619502E-2</v>
      </c>
      <c r="H55" s="85">
        <v>8.8960696572123014E-3</v>
      </c>
      <c r="I55" s="85">
        <v>1.3703612847559997E-3</v>
      </c>
      <c r="J55" s="85">
        <v>4.2718052395171589E-2</v>
      </c>
      <c r="K55" s="85">
        <v>4.6101660505680235E-3</v>
      </c>
      <c r="L55" s="85">
        <v>1.9032795621611105E-3</v>
      </c>
      <c r="M55" s="114">
        <f t="shared" si="8"/>
        <v>9.911434057707437E-2</v>
      </c>
      <c r="N55" s="35">
        <f t="shared" si="9"/>
        <v>49.671417598361344</v>
      </c>
      <c r="O55" s="35">
        <f t="shared" si="10"/>
        <v>31.836932092970326</v>
      </c>
      <c r="P55" s="35">
        <f t="shared" si="11"/>
        <v>18.491650308668316</v>
      </c>
      <c r="Q55" s="35">
        <f t="shared" si="12"/>
        <v>0.17096219931271481</v>
      </c>
      <c r="R55" s="35">
        <f t="shared" si="13"/>
        <v>0.36877848270932001</v>
      </c>
      <c r="S55" s="35"/>
      <c r="T55" s="35"/>
      <c r="U55" s="35">
        <f t="shared" si="14"/>
        <v>0</v>
      </c>
      <c r="V55" s="35">
        <f t="shared" si="15"/>
        <v>0</v>
      </c>
    </row>
    <row r="56" spans="1:22" x14ac:dyDescent="0.2">
      <c r="A56" s="632" t="s">
        <v>893</v>
      </c>
      <c r="B56" t="s">
        <v>902</v>
      </c>
      <c r="C56" t="s">
        <v>904</v>
      </c>
      <c r="D56" s="86">
        <v>1.853670219135433E-2</v>
      </c>
      <c r="G56" s="86">
        <v>2.0787929589270747E-2</v>
      </c>
      <c r="H56" s="86">
        <v>8.43012812836786E-3</v>
      </c>
      <c r="I56" s="86">
        <v>1.1495629265956173E-3</v>
      </c>
      <c r="J56" s="86">
        <v>3.5013770805891513E-2</v>
      </c>
      <c r="K56" s="86">
        <v>4.2485929828763019E-3</v>
      </c>
      <c r="L56" s="86">
        <v>1.7626631541132799E-3</v>
      </c>
      <c r="M56" s="114">
        <f t="shared" si="8"/>
        <v>8.9929349778469642E-2</v>
      </c>
      <c r="N56" s="35">
        <f t="shared" si="9"/>
        <v>45.619174434087888</v>
      </c>
      <c r="O56" s="35">
        <f t="shared" si="10"/>
        <v>33.768308921438084</v>
      </c>
      <c r="P56" s="35">
        <f t="shared" si="11"/>
        <v>20.612516644474038</v>
      </c>
      <c r="Q56" s="35">
        <f t="shared" si="12"/>
        <v>0.18949211908931693</v>
      </c>
      <c r="R56" s="35">
        <f t="shared" si="13"/>
        <v>0.35331230283911674</v>
      </c>
      <c r="S56" s="35"/>
      <c r="T56" s="35"/>
      <c r="U56" s="35">
        <f t="shared" si="14"/>
        <v>0</v>
      </c>
      <c r="V56" s="35">
        <f t="shared" si="15"/>
        <v>0</v>
      </c>
    </row>
    <row r="57" spans="1:22" x14ac:dyDescent="0.2">
      <c r="A57" s="632" t="s">
        <v>893</v>
      </c>
      <c r="B57" t="s">
        <v>902</v>
      </c>
      <c r="C57" t="s">
        <v>904</v>
      </c>
      <c r="D57" s="85">
        <v>1.3619625040938756E-2</v>
      </c>
      <c r="G57" s="85">
        <v>1.8492335466142651E-2</v>
      </c>
      <c r="H57" s="85">
        <v>7.3889461365796768E-3</v>
      </c>
      <c r="I57" s="85">
        <v>1.0743927085080718E-3</v>
      </c>
      <c r="J57" s="85">
        <v>3.4867837714778693E-2</v>
      </c>
      <c r="K57" s="85">
        <v>4.1138456868524687E-3</v>
      </c>
      <c r="L57" s="85">
        <v>1.8172813471047313E-3</v>
      </c>
      <c r="M57" s="114">
        <f t="shared" si="8"/>
        <v>8.1374264100905064E-2</v>
      </c>
      <c r="N57" s="35">
        <f t="shared" si="9"/>
        <v>50.137430057916944</v>
      </c>
      <c r="O57" s="35">
        <f t="shared" si="10"/>
        <v>33.125552174339838</v>
      </c>
      <c r="P57" s="35">
        <f t="shared" si="11"/>
        <v>16.737017767743197</v>
      </c>
      <c r="Q57" s="35">
        <f t="shared" si="12"/>
        <v>0.18991678903573175</v>
      </c>
      <c r="R57" s="35">
        <f t="shared" si="13"/>
        <v>0.35383019706623203</v>
      </c>
      <c r="S57" s="35"/>
      <c r="T57" s="35"/>
      <c r="U57" s="35">
        <f t="shared" si="14"/>
        <v>0</v>
      </c>
      <c r="V57" s="35">
        <f t="shared" si="15"/>
        <v>0</v>
      </c>
    </row>
    <row r="58" spans="1:22" x14ac:dyDescent="0.2">
      <c r="A58" s="632" t="s">
        <v>893</v>
      </c>
      <c r="B58" t="s">
        <v>902</v>
      </c>
      <c r="C58" t="s">
        <v>904</v>
      </c>
      <c r="D58" s="86">
        <v>1.3975133899681946E-2</v>
      </c>
      <c r="G58" s="86">
        <v>1.8656459540954715E-2</v>
      </c>
      <c r="H58" s="86">
        <v>6.746616365363698E-3</v>
      </c>
      <c r="I58" s="86">
        <v>1.0808354789409189E-3</v>
      </c>
      <c r="J58" s="86">
        <v>3.1392419006182101E-2</v>
      </c>
      <c r="K58" s="86">
        <v>3.8896308637045808E-3</v>
      </c>
      <c r="L58" s="86">
        <v>1.7623814178909251E-3</v>
      </c>
      <c r="M58" s="114">
        <f t="shared" si="8"/>
        <v>7.7503476572718888E-2</v>
      </c>
      <c r="N58" s="35">
        <f t="shared" si="9"/>
        <v>47.797122046544672</v>
      </c>
      <c r="O58" s="35">
        <f t="shared" si="10"/>
        <v>34.171255995736367</v>
      </c>
      <c r="P58" s="35">
        <f t="shared" si="11"/>
        <v>18.031621957718958</v>
      </c>
      <c r="Q58" s="35">
        <f t="shared" si="12"/>
        <v>0.20014867125069691</v>
      </c>
      <c r="R58" s="35">
        <f t="shared" si="13"/>
        <v>0.33636599948011436</v>
      </c>
      <c r="S58" s="35"/>
      <c r="T58" s="35"/>
      <c r="U58" s="35">
        <f t="shared" si="14"/>
        <v>0</v>
      </c>
      <c r="V58" s="35">
        <f t="shared" si="15"/>
        <v>0</v>
      </c>
    </row>
    <row r="59" spans="1:22" x14ac:dyDescent="0.2">
      <c r="A59" s="632" t="s">
        <v>893</v>
      </c>
      <c r="B59" t="s">
        <v>902</v>
      </c>
      <c r="C59" t="s">
        <v>904</v>
      </c>
      <c r="D59" s="86">
        <v>1.9161292500928521E-2</v>
      </c>
      <c r="G59" s="86">
        <v>2.0343046223452746E-2</v>
      </c>
      <c r="H59" s="86">
        <v>7.4281662558665631E-3</v>
      </c>
      <c r="I59" s="86">
        <v>1.2957085457676334E-3</v>
      </c>
      <c r="J59" s="86">
        <v>3.3848803052301042E-2</v>
      </c>
      <c r="K59" s="86">
        <v>4.2627544991052438E-3</v>
      </c>
      <c r="L59" s="86">
        <v>2.0216429753182295E-3</v>
      </c>
      <c r="M59" s="114">
        <f t="shared" si="8"/>
        <v>8.8361414052739978E-2</v>
      </c>
      <c r="N59" s="35">
        <f t="shared" si="9"/>
        <v>45.419373328238443</v>
      </c>
      <c r="O59" s="35">
        <f t="shared" si="10"/>
        <v>32.895491020252202</v>
      </c>
      <c r="P59" s="35">
        <f t="shared" si="11"/>
        <v>21.685135651509363</v>
      </c>
      <c r="Q59" s="35">
        <f t="shared" si="12"/>
        <v>0.20696182563886845</v>
      </c>
      <c r="R59" s="35">
        <f t="shared" si="13"/>
        <v>0.3447074197763903</v>
      </c>
      <c r="S59" s="35"/>
      <c r="T59" s="35"/>
      <c r="U59" s="35">
        <f t="shared" si="14"/>
        <v>0</v>
      </c>
      <c r="V59" s="35">
        <f t="shared" si="15"/>
        <v>0</v>
      </c>
    </row>
    <row r="60" spans="1:22" x14ac:dyDescent="0.2">
      <c r="A60" s="632" t="s">
        <v>893</v>
      </c>
      <c r="B60" t="s">
        <v>902</v>
      </c>
      <c r="C60" t="s">
        <v>904</v>
      </c>
      <c r="D60" s="85">
        <v>1.00119189511323E-2</v>
      </c>
      <c r="G60" s="85">
        <v>1.5828367103694875E-2</v>
      </c>
      <c r="H60" s="85">
        <v>6.3027413587604291E-3</v>
      </c>
      <c r="I60" s="85">
        <v>1.0488676996424314E-3</v>
      </c>
      <c r="J60" s="85">
        <v>2.9082240762812874E-2</v>
      </c>
      <c r="K60" s="85">
        <v>4.2526817640047678E-3</v>
      </c>
      <c r="L60" s="85">
        <v>1.8879618593563767E-3</v>
      </c>
      <c r="M60" s="114">
        <f t="shared" si="8"/>
        <v>6.8414779499404055E-2</v>
      </c>
      <c r="N60" s="35">
        <f t="shared" si="9"/>
        <v>51.484320557491294</v>
      </c>
      <c r="O60" s="35">
        <f t="shared" si="10"/>
        <v>33.881533101045299</v>
      </c>
      <c r="P60" s="35">
        <f t="shared" si="11"/>
        <v>14.634146341463413</v>
      </c>
      <c r="Q60" s="35">
        <f t="shared" si="12"/>
        <v>0.22793719545208446</v>
      </c>
      <c r="R60" s="35">
        <f t="shared" si="13"/>
        <v>0.36240230357877418</v>
      </c>
      <c r="S60" s="35"/>
      <c r="T60" s="35"/>
      <c r="U60" s="35">
        <f t="shared" si="14"/>
        <v>0</v>
      </c>
      <c r="V60" s="35">
        <f t="shared" si="15"/>
        <v>0</v>
      </c>
    </row>
    <row r="61" spans="1:22" x14ac:dyDescent="0.2">
      <c r="A61" s="632" t="s">
        <v>893</v>
      </c>
      <c r="B61" t="s">
        <v>902</v>
      </c>
      <c r="C61" t="s">
        <v>904</v>
      </c>
      <c r="D61" s="85">
        <v>1.0403285628991695E-2</v>
      </c>
      <c r="G61" s="85">
        <v>1.5469233413544173E-2</v>
      </c>
      <c r="H61" s="85">
        <v>6.1786470300881115E-3</v>
      </c>
      <c r="I61" s="85">
        <v>1.0765139042174016E-3</v>
      </c>
      <c r="J61" s="85">
        <v>2.9038736407881169E-2</v>
      </c>
      <c r="K61" s="85">
        <v>4.1794069222557944E-3</v>
      </c>
      <c r="L61" s="85">
        <v>1.8816377485480632E-3</v>
      </c>
      <c r="M61" s="114">
        <f t="shared" si="8"/>
        <v>6.8227461055526406E-2</v>
      </c>
      <c r="N61" s="35">
        <f t="shared" si="9"/>
        <v>51.445239989392732</v>
      </c>
      <c r="O61" s="35">
        <f t="shared" si="10"/>
        <v>33.306815168390344</v>
      </c>
      <c r="P61" s="35">
        <f t="shared" si="11"/>
        <v>15.247944842216917</v>
      </c>
      <c r="Q61" s="35">
        <f t="shared" si="12"/>
        <v>0.22628865979381443</v>
      </c>
      <c r="R61" s="35">
        <f t="shared" si="13"/>
        <v>0.36664012738853508</v>
      </c>
      <c r="S61" s="35"/>
      <c r="T61" s="35"/>
      <c r="U61" s="35">
        <f t="shared" si="14"/>
        <v>0</v>
      </c>
      <c r="V61" s="35">
        <f t="shared" si="15"/>
        <v>0</v>
      </c>
    </row>
    <row r="62" spans="1:22" x14ac:dyDescent="0.2">
      <c r="A62" s="632" t="s">
        <v>893</v>
      </c>
      <c r="B62" t="s">
        <v>902</v>
      </c>
      <c r="C62" t="s">
        <v>904</v>
      </c>
      <c r="D62" s="85">
        <v>9.1435537945748248E-3</v>
      </c>
      <c r="G62" s="85">
        <v>1.4524328249818447E-2</v>
      </c>
      <c r="H62" s="85">
        <v>5.4184022486369332E-3</v>
      </c>
      <c r="I62" s="85">
        <v>8.353370133315272E-4</v>
      </c>
      <c r="J62" s="85">
        <v>2.7581172557297723E-2</v>
      </c>
      <c r="K62" s="85">
        <v>3.8380349261178275E-3</v>
      </c>
      <c r="L62" s="85">
        <v>1.7271157167530224E-3</v>
      </c>
      <c r="M62" s="114">
        <f t="shared" si="8"/>
        <v>6.3067944506530305E-2</v>
      </c>
      <c r="N62" s="35">
        <f t="shared" si="9"/>
        <v>52.556530039973737</v>
      </c>
      <c r="O62" s="35">
        <f t="shared" si="10"/>
        <v>32.945528309766722</v>
      </c>
      <c r="P62" s="35">
        <f t="shared" si="11"/>
        <v>14.497941650259531</v>
      </c>
      <c r="Q62" s="35">
        <f t="shared" si="12"/>
        <v>0.22000227040526737</v>
      </c>
      <c r="R62" s="35">
        <f t="shared" si="13"/>
        <v>0.34118073161897861</v>
      </c>
      <c r="S62" s="35"/>
      <c r="T62" s="35"/>
      <c r="U62" s="35">
        <f t="shared" si="14"/>
        <v>0</v>
      </c>
      <c r="V62" s="35">
        <f t="shared" si="15"/>
        <v>0</v>
      </c>
    </row>
    <row r="63" spans="1:22" x14ac:dyDescent="0.2">
      <c r="A63" s="632" t="s">
        <v>893</v>
      </c>
      <c r="B63" t="s">
        <v>902</v>
      </c>
      <c r="C63" t="s">
        <v>904</v>
      </c>
      <c r="D63" s="86">
        <v>1.0689580742309156E-2</v>
      </c>
      <c r="G63" s="86">
        <v>1.6342724404107264E-2</v>
      </c>
      <c r="H63" s="86">
        <v>6.3315209012138841E-3</v>
      </c>
      <c r="I63" s="86">
        <v>1.2025778335097799E-3</v>
      </c>
      <c r="J63" s="86">
        <v>3.4432784121861224E-2</v>
      </c>
      <c r="K63" s="86">
        <v>4.7691975619533157E-3</v>
      </c>
      <c r="L63" s="86">
        <v>2.1995868065905378E-3</v>
      </c>
      <c r="M63" s="114">
        <f t="shared" si="8"/>
        <v>7.5967972371545164E-2</v>
      </c>
      <c r="N63" s="35">
        <f t="shared" si="9"/>
        <v>54.498714652956302</v>
      </c>
      <c r="O63" s="35">
        <f t="shared" si="10"/>
        <v>31.43011771072926</v>
      </c>
      <c r="P63" s="35">
        <f t="shared" si="11"/>
        <v>14.071167636314435</v>
      </c>
      <c r="Q63" s="35">
        <f t="shared" si="12"/>
        <v>0.2214498510427011</v>
      </c>
      <c r="R63" s="35">
        <f t="shared" si="13"/>
        <v>0.36590615583297459</v>
      </c>
      <c r="S63" s="35"/>
      <c r="T63" s="35"/>
      <c r="U63" s="35">
        <f t="shared" si="14"/>
        <v>0</v>
      </c>
      <c r="V63" s="35">
        <f t="shared" si="15"/>
        <v>0</v>
      </c>
    </row>
    <row r="64" spans="1:22" x14ac:dyDescent="0.2">
      <c r="A64" s="632" t="s">
        <v>893</v>
      </c>
      <c r="B64" t="s">
        <v>902</v>
      </c>
      <c r="C64" t="s">
        <v>904</v>
      </c>
      <c r="D64" s="86">
        <v>7.8474024409551802E-3</v>
      </c>
      <c r="G64" s="86">
        <v>1.1839940524949921E-2</v>
      </c>
      <c r="H64" s="86">
        <v>5.1076952729725827E-3</v>
      </c>
      <c r="I64" s="86">
        <v>1.0050182073504002E-3</v>
      </c>
      <c r="J64" s="86">
        <v>2.5607313228380061E-2</v>
      </c>
      <c r="K64" s="86">
        <v>3.7722601207398586E-3</v>
      </c>
      <c r="L64" s="86">
        <v>1.7553400196873429E-3</v>
      </c>
      <c r="M64" s="114">
        <f t="shared" si="8"/>
        <v>5.6934969815035347E-2</v>
      </c>
      <c r="N64" s="35">
        <f t="shared" si="9"/>
        <v>54.685044130093097</v>
      </c>
      <c r="O64" s="35">
        <f t="shared" si="10"/>
        <v>31.531858300084632</v>
      </c>
      <c r="P64" s="35">
        <f t="shared" si="11"/>
        <v>13.783097569822269</v>
      </c>
      <c r="Q64" s="35">
        <f t="shared" si="12"/>
        <v>0.23391554278133983</v>
      </c>
      <c r="R64" s="35">
        <f t="shared" si="13"/>
        <v>0.39647239263803685</v>
      </c>
      <c r="S64" s="35"/>
      <c r="T64" s="35"/>
      <c r="U64" s="35">
        <f t="shared" si="14"/>
        <v>0</v>
      </c>
      <c r="V64" s="35">
        <f t="shared" si="15"/>
        <v>0</v>
      </c>
    </row>
    <row r="65" spans="1:22" x14ac:dyDescent="0.2">
      <c r="A65" s="632" t="s">
        <v>893</v>
      </c>
      <c r="B65" t="s">
        <v>902</v>
      </c>
      <c r="C65" t="s">
        <v>904</v>
      </c>
      <c r="D65" s="87">
        <v>8.1444911666355719E-3</v>
      </c>
      <c r="G65" s="87">
        <v>1.2198797342097332E-2</v>
      </c>
      <c r="H65" s="87">
        <v>5.1187110415859393E-3</v>
      </c>
      <c r="I65" s="87">
        <v>8.9457847175380435E-4</v>
      </c>
      <c r="J65" s="87">
        <v>2.463678678894167E-2</v>
      </c>
      <c r="K65" s="87">
        <v>3.6955180183412505E-3</v>
      </c>
      <c r="L65" s="87">
        <v>1.6982639437037462E-3</v>
      </c>
      <c r="M65" s="114">
        <f t="shared" si="8"/>
        <v>5.638714677305931E-2</v>
      </c>
      <c r="N65" s="35">
        <f t="shared" si="9"/>
        <v>53.257826418936119</v>
      </c>
      <c r="O65" s="35">
        <f t="shared" si="10"/>
        <v>32.298294731483843</v>
      </c>
      <c r="P65" s="35">
        <f t="shared" si="11"/>
        <v>14.443878849580047</v>
      </c>
      <c r="Q65" s="35">
        <f t="shared" si="12"/>
        <v>0.23616089207487059</v>
      </c>
      <c r="R65" s="35">
        <f t="shared" si="13"/>
        <v>0.37930128710270561</v>
      </c>
      <c r="S65" s="35"/>
      <c r="T65" s="35"/>
      <c r="U65" s="35">
        <f t="shared" si="14"/>
        <v>0</v>
      </c>
      <c r="V65" s="35">
        <f t="shared" si="15"/>
        <v>0</v>
      </c>
    </row>
    <row r="66" spans="1:22" x14ac:dyDescent="0.2">
      <c r="A66" s="632" t="s">
        <v>893</v>
      </c>
      <c r="B66" t="s">
        <v>902</v>
      </c>
      <c r="C66" t="s">
        <v>904</v>
      </c>
      <c r="D66" s="84">
        <v>9.4913391530228666E-3</v>
      </c>
      <c r="G66" s="84">
        <v>1.4292513636861919E-2</v>
      </c>
      <c r="H66" s="84">
        <v>5.8696439498957202E-3</v>
      </c>
      <c r="I66" s="84">
        <v>1.2863262273175727E-3</v>
      </c>
      <c r="J66" s="84">
        <v>3.1082748103466697E-2</v>
      </c>
      <c r="K66" s="84">
        <v>4.7040408960157187E-3</v>
      </c>
      <c r="L66" s="84">
        <v>2.1785676126090496E-3</v>
      </c>
      <c r="M66" s="114">
        <f t="shared" si="8"/>
        <v>6.8905179579189541E-2</v>
      </c>
      <c r="N66" s="35">
        <f t="shared" si="9"/>
        <v>55.0979720885273</v>
      </c>
      <c r="O66" s="35">
        <f t="shared" si="10"/>
        <v>31.127534889340879</v>
      </c>
      <c r="P66" s="35">
        <f t="shared" si="11"/>
        <v>13.774493022131825</v>
      </c>
      <c r="Q66" s="35">
        <f t="shared" si="12"/>
        <v>0.23866959064327486</v>
      </c>
      <c r="R66" s="35">
        <f t="shared" si="13"/>
        <v>0.39360807401177461</v>
      </c>
      <c r="S66" s="35"/>
      <c r="T66" s="35"/>
      <c r="U66" s="35">
        <f t="shared" si="14"/>
        <v>0</v>
      </c>
      <c r="V66" s="35">
        <f t="shared" si="15"/>
        <v>0</v>
      </c>
    </row>
    <row r="67" spans="1:22" x14ac:dyDescent="0.2">
      <c r="A67" s="632" t="s">
        <v>893</v>
      </c>
      <c r="B67" t="s">
        <v>902</v>
      </c>
      <c r="C67" t="s">
        <v>904</v>
      </c>
      <c r="D67" s="84">
        <v>1.0458183734642116E-2</v>
      </c>
      <c r="G67" s="84">
        <v>1.5975493263941501E-2</v>
      </c>
      <c r="H67" s="84">
        <v>6.5960670641325471E-3</v>
      </c>
      <c r="I67" s="84">
        <v>1.2187489706512072E-3</v>
      </c>
      <c r="J67" s="84">
        <v>3.5986033795579561E-2</v>
      </c>
      <c r="K67" s="84">
        <v>5.0726308508185379E-3</v>
      </c>
      <c r="L67" s="84">
        <v>2.3963239895912251E-3</v>
      </c>
      <c r="M67" s="114">
        <f t="shared" ref="M67:M130" si="16">SUM(D67:L67)</f>
        <v>7.7703481669356686E-2</v>
      </c>
      <c r="N67" s="35">
        <f t="shared" ref="N67:N130" si="17">SUM(J67:L67)/$M67*100</f>
        <v>55.924120389995771</v>
      </c>
      <c r="O67" s="35">
        <f t="shared" ref="O67:O130" si="18">SUM(G67:I67)/$M67*100</f>
        <v>30.616786774056809</v>
      </c>
      <c r="P67" s="35">
        <f t="shared" ref="P67:P130" si="19">SUM(D67:F67)/$M67*100</f>
        <v>13.459092835947436</v>
      </c>
      <c r="Q67" s="35">
        <f t="shared" ref="Q67:Q130" si="20">(K67+(2*L67))/SUM(J67:L67)</f>
        <v>0.22702292969490243</v>
      </c>
      <c r="R67" s="35">
        <f t="shared" ref="R67:R130" si="21">(H67+(2*I67))/SUM(G67:I67)</f>
        <v>0.37971616476289372</v>
      </c>
      <c r="S67" s="35"/>
      <c r="T67" s="35"/>
      <c r="U67" s="35">
        <f t="shared" ref="U67:U130" si="22">SUM(Y67,AA67,AC67)/SUM(G67:I67)</f>
        <v>0</v>
      </c>
      <c r="V67" s="35">
        <f t="shared" ref="V67:V130" si="23">SUM(AE67,AG67,AI67)/SUM(D67:F67)</f>
        <v>0</v>
      </c>
    </row>
    <row r="68" spans="1:22" x14ac:dyDescent="0.2">
      <c r="A68" s="632" t="s">
        <v>893</v>
      </c>
      <c r="B68" t="s">
        <v>902</v>
      </c>
      <c r="C68" t="s">
        <v>904</v>
      </c>
      <c r="D68" s="84">
        <v>9.7892230355410524E-3</v>
      </c>
      <c r="G68" s="84">
        <v>1.613898932886498E-2</v>
      </c>
      <c r="H68" s="84">
        <v>7.2404973983596441E-3</v>
      </c>
      <c r="I68" s="84">
        <v>1.3669635770350119E-3</v>
      </c>
      <c r="J68" s="84">
        <v>3.1131493076990917E-2</v>
      </c>
      <c r="K68" s="84">
        <v>5.6795131845841784E-3</v>
      </c>
      <c r="L68" s="84">
        <v>2.6457359555516358E-3</v>
      </c>
      <c r="M68" s="114">
        <f t="shared" si="16"/>
        <v>7.3992415556927413E-2</v>
      </c>
      <c r="N68" s="35">
        <f t="shared" si="17"/>
        <v>53.325387365911801</v>
      </c>
      <c r="O68" s="35">
        <f t="shared" si="18"/>
        <v>33.444576877234809</v>
      </c>
      <c r="P68" s="35">
        <f t="shared" si="19"/>
        <v>13.230035756853397</v>
      </c>
      <c r="Q68" s="35">
        <f t="shared" si="20"/>
        <v>0.27805096110862765</v>
      </c>
      <c r="R68" s="35">
        <f t="shared" si="21"/>
        <v>0.4030648610121168</v>
      </c>
      <c r="S68" s="35"/>
      <c r="T68" s="35"/>
      <c r="U68" s="35">
        <f t="shared" si="22"/>
        <v>0</v>
      </c>
      <c r="V68" s="35">
        <f t="shared" si="23"/>
        <v>0</v>
      </c>
    </row>
    <row r="69" spans="1:22" x14ac:dyDescent="0.2">
      <c r="A69" s="632" t="s">
        <v>893</v>
      </c>
      <c r="B69" t="s">
        <v>902</v>
      </c>
      <c r="C69" t="s">
        <v>904</v>
      </c>
      <c r="D69" s="87">
        <v>8.5571472553742506E-3</v>
      </c>
      <c r="G69" s="87">
        <v>1.5212706231776446E-2</v>
      </c>
      <c r="H69" s="87">
        <v>7.0630421790390642E-3</v>
      </c>
      <c r="I69" s="87">
        <v>1.5031602586160059E-3</v>
      </c>
      <c r="J69" s="87">
        <v>3.4409692667113391E-2</v>
      </c>
      <c r="K69" s="87">
        <v>6.474455330785809E-3</v>
      </c>
      <c r="L69" s="87">
        <v>3.1512034337251209E-3</v>
      </c>
      <c r="M69" s="114">
        <f t="shared" si="16"/>
        <v>7.6371407356430068E-2</v>
      </c>
      <c r="N69" s="35">
        <f t="shared" si="17"/>
        <v>57.659473559402443</v>
      </c>
      <c r="O69" s="35">
        <f t="shared" si="18"/>
        <v>31.135878586672998</v>
      </c>
      <c r="P69" s="35">
        <f t="shared" si="19"/>
        <v>11.204647853924593</v>
      </c>
      <c r="Q69" s="35">
        <f t="shared" si="20"/>
        <v>0.29015011309891009</v>
      </c>
      <c r="R69" s="35">
        <f t="shared" si="21"/>
        <v>0.42345773038842338</v>
      </c>
      <c r="S69" s="35"/>
      <c r="T69" s="35"/>
      <c r="U69" s="35">
        <f t="shared" si="22"/>
        <v>0</v>
      </c>
      <c r="V69" s="35">
        <f t="shared" si="23"/>
        <v>0</v>
      </c>
    </row>
    <row r="70" spans="1:22" x14ac:dyDescent="0.2">
      <c r="A70" s="632" t="s">
        <v>893</v>
      </c>
      <c r="B70" t="s">
        <v>902</v>
      </c>
      <c r="C70" t="s">
        <v>904</v>
      </c>
      <c r="D70" s="87">
        <v>8.2429842753261751E-3</v>
      </c>
      <c r="G70" s="87">
        <v>1.4963379098522038E-2</v>
      </c>
      <c r="H70" s="87">
        <v>6.9304071614207331E-3</v>
      </c>
      <c r="I70" s="87">
        <v>1.3965820491953903E-3</v>
      </c>
      <c r="J70" s="87">
        <v>2.5936523770771533E-2</v>
      </c>
      <c r="K70" s="87">
        <v>5.4603207938466389E-3</v>
      </c>
      <c r="L70" s="87">
        <v>2.5148977502428269E-3</v>
      </c>
      <c r="M70" s="114">
        <f t="shared" si="16"/>
        <v>6.5445094899325346E-2</v>
      </c>
      <c r="N70" s="35">
        <f t="shared" si="17"/>
        <v>51.817087845968715</v>
      </c>
      <c r="O70" s="35">
        <f t="shared" si="18"/>
        <v>35.587645407139981</v>
      </c>
      <c r="P70" s="35">
        <f t="shared" si="19"/>
        <v>12.595266746891292</v>
      </c>
      <c r="Q70" s="35">
        <f t="shared" si="20"/>
        <v>0.30933581049698095</v>
      </c>
      <c r="R70" s="35">
        <f t="shared" si="21"/>
        <v>0.41749323715058606</v>
      </c>
      <c r="S70" s="35"/>
      <c r="T70" s="35"/>
      <c r="U70" s="35">
        <f t="shared" si="22"/>
        <v>0</v>
      </c>
      <c r="V70" s="35">
        <f t="shared" si="23"/>
        <v>0</v>
      </c>
    </row>
    <row r="71" spans="1:22" x14ac:dyDescent="0.2">
      <c r="A71" s="632" t="s">
        <v>230</v>
      </c>
      <c r="B71" t="s">
        <v>902</v>
      </c>
      <c r="C71" t="s">
        <v>904</v>
      </c>
      <c r="D71" s="169">
        <v>1450000</v>
      </c>
      <c r="E71" s="51">
        <v>0</v>
      </c>
      <c r="F71" s="39">
        <v>166000</v>
      </c>
      <c r="G71" s="39">
        <v>7250000</v>
      </c>
      <c r="H71" s="39">
        <v>920000</v>
      </c>
      <c r="I71" s="39">
        <v>182000</v>
      </c>
      <c r="J71" s="39">
        <v>17000000</v>
      </c>
      <c r="K71" s="39">
        <v>1470000</v>
      </c>
      <c r="L71" s="39">
        <v>620000</v>
      </c>
      <c r="M71" s="114">
        <f t="shared" si="16"/>
        <v>29058000</v>
      </c>
      <c r="N71" s="35">
        <f t="shared" si="17"/>
        <v>65.696193819258028</v>
      </c>
      <c r="O71" s="35">
        <f t="shared" si="18"/>
        <v>28.742514970059879</v>
      </c>
      <c r="P71" s="35">
        <f t="shared" si="19"/>
        <v>5.561291210682084</v>
      </c>
      <c r="Q71" s="35">
        <f t="shared" si="20"/>
        <v>0.14195914091147196</v>
      </c>
      <c r="R71" s="35">
        <f t="shared" si="21"/>
        <v>0.15373563218390804</v>
      </c>
      <c r="S71" s="35"/>
      <c r="T71" s="35"/>
      <c r="U71" s="35">
        <f t="shared" si="22"/>
        <v>0</v>
      </c>
      <c r="V71" s="35">
        <f t="shared" si="23"/>
        <v>0</v>
      </c>
    </row>
    <row r="72" spans="1:22" x14ac:dyDescent="0.2">
      <c r="A72" s="632" t="s">
        <v>230</v>
      </c>
      <c r="B72" t="s">
        <v>902</v>
      </c>
      <c r="C72" t="s">
        <v>904</v>
      </c>
      <c r="D72" s="169">
        <v>643000</v>
      </c>
      <c r="E72" s="51">
        <v>0</v>
      </c>
      <c r="F72" s="39">
        <v>87700</v>
      </c>
      <c r="G72" s="39">
        <v>3420000</v>
      </c>
      <c r="H72" s="39">
        <v>427000</v>
      </c>
      <c r="I72" s="39">
        <v>80200</v>
      </c>
      <c r="J72" s="39">
        <v>6550000</v>
      </c>
      <c r="K72" s="39">
        <v>710000</v>
      </c>
      <c r="L72" s="39">
        <v>307000</v>
      </c>
      <c r="M72" s="114">
        <f t="shared" si="16"/>
        <v>12224900</v>
      </c>
      <c r="N72" s="35">
        <f t="shared" si="17"/>
        <v>61.898256836456746</v>
      </c>
      <c r="O72" s="35">
        <f t="shared" si="18"/>
        <v>32.124598156222142</v>
      </c>
      <c r="P72" s="35">
        <f t="shared" si="19"/>
        <v>5.9771450073211234</v>
      </c>
      <c r="Q72" s="35">
        <f t="shared" si="20"/>
        <v>0.17497026562706489</v>
      </c>
      <c r="R72" s="35">
        <f t="shared" si="21"/>
        <v>0.14957221430026482</v>
      </c>
      <c r="S72" s="35"/>
      <c r="T72" s="35"/>
      <c r="U72" s="35">
        <f t="shared" si="22"/>
        <v>0</v>
      </c>
      <c r="V72" s="35">
        <f t="shared" si="23"/>
        <v>0</v>
      </c>
    </row>
    <row r="73" spans="1:22" x14ac:dyDescent="0.2">
      <c r="A73" s="632" t="s">
        <v>230</v>
      </c>
      <c r="B73" t="s">
        <v>902</v>
      </c>
      <c r="C73" t="s">
        <v>904</v>
      </c>
      <c r="D73" s="170">
        <v>703000</v>
      </c>
      <c r="E73" s="42">
        <v>51900</v>
      </c>
      <c r="F73" s="42">
        <v>62100</v>
      </c>
      <c r="G73" s="42">
        <v>3810000</v>
      </c>
      <c r="H73" s="42">
        <v>477000</v>
      </c>
      <c r="I73" s="42">
        <v>119000</v>
      </c>
      <c r="J73" s="42">
        <v>9490000</v>
      </c>
      <c r="K73" s="42">
        <v>809000</v>
      </c>
      <c r="L73" s="42">
        <v>357000</v>
      </c>
      <c r="M73" s="114">
        <f t="shared" si="16"/>
        <v>15879000</v>
      </c>
      <c r="N73" s="35">
        <f t="shared" si="17"/>
        <v>67.107500472321931</v>
      </c>
      <c r="O73" s="35">
        <f t="shared" si="18"/>
        <v>27.747339253101583</v>
      </c>
      <c r="P73" s="35">
        <f t="shared" si="19"/>
        <v>5.1451602745764848</v>
      </c>
      <c r="Q73" s="35">
        <f t="shared" si="20"/>
        <v>0.14292417417417416</v>
      </c>
      <c r="R73" s="35">
        <f t="shared" si="21"/>
        <v>0.16227871084884249</v>
      </c>
      <c r="S73" s="35"/>
      <c r="T73" s="35"/>
      <c r="U73" s="35">
        <f t="shared" si="22"/>
        <v>0</v>
      </c>
      <c r="V73" s="35">
        <f t="shared" si="23"/>
        <v>0</v>
      </c>
    </row>
    <row r="74" spans="1:22" x14ac:dyDescent="0.2">
      <c r="A74" s="632" t="s">
        <v>230</v>
      </c>
      <c r="B74" t="s">
        <v>902</v>
      </c>
      <c r="C74" t="s">
        <v>904</v>
      </c>
      <c r="D74" s="170">
        <v>815000</v>
      </c>
      <c r="E74" s="51">
        <v>0</v>
      </c>
      <c r="F74" s="42">
        <v>75600</v>
      </c>
      <c r="G74" s="42">
        <v>4030000</v>
      </c>
      <c r="H74" s="42">
        <v>537000</v>
      </c>
      <c r="I74" s="42">
        <v>93400</v>
      </c>
      <c r="J74" s="42">
        <v>10000000</v>
      </c>
      <c r="K74" s="42">
        <v>803000</v>
      </c>
      <c r="L74" s="42">
        <v>334000</v>
      </c>
      <c r="M74" s="114">
        <f t="shared" si="16"/>
        <v>16688000</v>
      </c>
      <c r="N74" s="35">
        <f t="shared" si="17"/>
        <v>66.736577181208062</v>
      </c>
      <c r="O74" s="35">
        <f t="shared" si="18"/>
        <v>27.926653883029722</v>
      </c>
      <c r="P74" s="35">
        <f t="shared" si="19"/>
        <v>5.3367689357622243</v>
      </c>
      <c r="Q74" s="35">
        <f t="shared" si="20"/>
        <v>0.13208224836131813</v>
      </c>
      <c r="R74" s="35">
        <f t="shared" si="21"/>
        <v>0.15530855720539011</v>
      </c>
      <c r="S74" s="35"/>
      <c r="T74" s="35"/>
      <c r="U74" s="35">
        <f t="shared" si="22"/>
        <v>0</v>
      </c>
      <c r="V74" s="35">
        <f t="shared" si="23"/>
        <v>0</v>
      </c>
    </row>
    <row r="75" spans="1:22" x14ac:dyDescent="0.2">
      <c r="A75" s="632" t="s">
        <v>230</v>
      </c>
      <c r="B75" t="s">
        <v>902</v>
      </c>
      <c r="C75" t="s">
        <v>904</v>
      </c>
      <c r="D75" s="170">
        <v>48300</v>
      </c>
      <c r="E75" s="51">
        <v>0</v>
      </c>
      <c r="F75" s="42">
        <v>51500</v>
      </c>
      <c r="G75" s="42">
        <v>270000</v>
      </c>
      <c r="H75" s="42">
        <v>46300</v>
      </c>
      <c r="I75" s="51">
        <v>0</v>
      </c>
      <c r="J75" s="42">
        <v>1600000</v>
      </c>
      <c r="K75" s="42">
        <v>83300</v>
      </c>
      <c r="L75" s="42">
        <v>63700</v>
      </c>
      <c r="M75" s="114">
        <f t="shared" si="16"/>
        <v>2163100</v>
      </c>
      <c r="N75" s="35">
        <f t="shared" si="17"/>
        <v>80.763718736997831</v>
      </c>
      <c r="O75" s="35">
        <f t="shared" si="18"/>
        <v>14.622532476538302</v>
      </c>
      <c r="P75" s="35">
        <f t="shared" si="19"/>
        <v>4.6137487864638711</v>
      </c>
      <c r="Q75" s="35">
        <f t="shared" si="20"/>
        <v>0.1206067544361763</v>
      </c>
      <c r="R75" s="35">
        <f t="shared" si="21"/>
        <v>0.14638001896933292</v>
      </c>
      <c r="S75" s="35"/>
      <c r="T75" s="35"/>
      <c r="U75" s="35">
        <f t="shared" si="22"/>
        <v>0</v>
      </c>
      <c r="V75" s="35">
        <f t="shared" si="23"/>
        <v>0</v>
      </c>
    </row>
    <row r="76" spans="1:22" x14ac:dyDescent="0.2">
      <c r="A76" s="632" t="s">
        <v>230</v>
      </c>
      <c r="B76" t="s">
        <v>902</v>
      </c>
      <c r="C76" t="s">
        <v>904</v>
      </c>
      <c r="D76" s="170">
        <v>547000</v>
      </c>
      <c r="E76" s="51">
        <v>0</v>
      </c>
      <c r="F76" s="42">
        <v>86600</v>
      </c>
      <c r="G76" s="42">
        <v>2970000</v>
      </c>
      <c r="H76" s="42">
        <v>424000</v>
      </c>
      <c r="I76" s="42">
        <v>96300</v>
      </c>
      <c r="J76" s="42">
        <v>8210000</v>
      </c>
      <c r="K76" s="42">
        <v>661000</v>
      </c>
      <c r="L76" s="42">
        <v>300000</v>
      </c>
      <c r="M76" s="114">
        <f t="shared" si="16"/>
        <v>13294900</v>
      </c>
      <c r="N76" s="35">
        <f t="shared" si="17"/>
        <v>68.981338708828204</v>
      </c>
      <c r="O76" s="35">
        <f t="shared" si="18"/>
        <v>26.252924053584458</v>
      </c>
      <c r="P76" s="35">
        <f t="shared" si="19"/>
        <v>4.765737237587345</v>
      </c>
      <c r="Q76" s="35">
        <f t="shared" si="20"/>
        <v>0.13749863700795986</v>
      </c>
      <c r="R76" s="35">
        <f t="shared" si="21"/>
        <v>0.1766610320029797</v>
      </c>
      <c r="S76" s="35"/>
      <c r="T76" s="35"/>
      <c r="U76" s="35">
        <f t="shared" si="22"/>
        <v>0</v>
      </c>
      <c r="V76" s="35">
        <f t="shared" si="23"/>
        <v>0</v>
      </c>
    </row>
    <row r="77" spans="1:22" x14ac:dyDescent="0.2">
      <c r="A77" s="632" t="s">
        <v>230</v>
      </c>
      <c r="B77" t="s">
        <v>902</v>
      </c>
      <c r="C77" t="s">
        <v>904</v>
      </c>
      <c r="D77" s="170">
        <v>519000</v>
      </c>
      <c r="E77" s="42">
        <v>39500</v>
      </c>
      <c r="F77" s="42">
        <v>32900</v>
      </c>
      <c r="G77" s="42">
        <v>2950000</v>
      </c>
      <c r="H77" s="42">
        <v>374000</v>
      </c>
      <c r="I77" s="42">
        <v>80300</v>
      </c>
      <c r="J77" s="42">
        <v>8470000</v>
      </c>
      <c r="K77" s="42">
        <v>683000</v>
      </c>
      <c r="L77" s="42">
        <v>306000</v>
      </c>
      <c r="M77" s="114">
        <f t="shared" si="16"/>
        <v>13454700</v>
      </c>
      <c r="N77" s="35">
        <f t="shared" si="17"/>
        <v>70.302570848848362</v>
      </c>
      <c r="O77" s="35">
        <f t="shared" si="18"/>
        <v>25.301939099348182</v>
      </c>
      <c r="P77" s="35">
        <f t="shared" si="19"/>
        <v>4.395490051803459</v>
      </c>
      <c r="Q77" s="35">
        <f t="shared" si="20"/>
        <v>0.13690664975155936</v>
      </c>
      <c r="R77" s="35">
        <f t="shared" si="21"/>
        <v>0.15703668889345829</v>
      </c>
      <c r="S77" s="35"/>
      <c r="T77" s="35"/>
      <c r="U77" s="35">
        <f t="shared" si="22"/>
        <v>0</v>
      </c>
      <c r="V77" s="35">
        <f t="shared" si="23"/>
        <v>0</v>
      </c>
    </row>
    <row r="78" spans="1:22" x14ac:dyDescent="0.2">
      <c r="A78" s="632" t="s">
        <v>230</v>
      </c>
      <c r="B78" t="s">
        <v>902</v>
      </c>
      <c r="C78" t="s">
        <v>904</v>
      </c>
      <c r="D78" s="170">
        <v>190000</v>
      </c>
      <c r="E78" s="51">
        <v>0</v>
      </c>
      <c r="F78" s="42">
        <v>14100</v>
      </c>
      <c r="G78" s="42">
        <v>1130000</v>
      </c>
      <c r="H78" s="42">
        <v>196000</v>
      </c>
      <c r="I78" s="42">
        <v>52900</v>
      </c>
      <c r="J78" s="42">
        <v>3970000</v>
      </c>
      <c r="K78" s="42">
        <v>350000</v>
      </c>
      <c r="L78" s="42">
        <v>152000</v>
      </c>
      <c r="M78" s="114">
        <f t="shared" si="16"/>
        <v>6055000</v>
      </c>
      <c r="N78" s="35">
        <f t="shared" si="17"/>
        <v>73.856317093311304</v>
      </c>
      <c r="O78" s="35">
        <f t="shared" si="18"/>
        <v>22.772914946325351</v>
      </c>
      <c r="P78" s="35">
        <f t="shared" si="19"/>
        <v>3.3707679603633363</v>
      </c>
      <c r="Q78" s="35">
        <f t="shared" si="20"/>
        <v>0.14624329159212879</v>
      </c>
      <c r="R78" s="35">
        <f t="shared" si="21"/>
        <v>0.21887011385887301</v>
      </c>
      <c r="S78" s="35"/>
      <c r="T78" s="35"/>
      <c r="U78" s="35">
        <f t="shared" si="22"/>
        <v>0</v>
      </c>
      <c r="V78" s="35">
        <f t="shared" si="23"/>
        <v>0</v>
      </c>
    </row>
    <row r="79" spans="1:22" x14ac:dyDescent="0.2">
      <c r="A79" s="632" t="s">
        <v>230</v>
      </c>
      <c r="B79" t="s">
        <v>902</v>
      </c>
      <c r="C79" t="s">
        <v>904</v>
      </c>
      <c r="D79" s="170">
        <v>247000</v>
      </c>
      <c r="E79" s="42">
        <v>33700</v>
      </c>
      <c r="F79" s="42">
        <v>25300</v>
      </c>
      <c r="G79" s="42">
        <v>1380000</v>
      </c>
      <c r="H79" s="42">
        <v>188000</v>
      </c>
      <c r="I79" s="42">
        <v>31400</v>
      </c>
      <c r="J79" s="42">
        <v>3910000</v>
      </c>
      <c r="K79" s="42">
        <v>297000</v>
      </c>
      <c r="L79" s="42">
        <v>128000</v>
      </c>
      <c r="M79" s="114">
        <f t="shared" si="16"/>
        <v>6240400</v>
      </c>
      <c r="N79" s="35">
        <f t="shared" si="17"/>
        <v>69.466700852509462</v>
      </c>
      <c r="O79" s="35">
        <f t="shared" si="18"/>
        <v>25.629767322607528</v>
      </c>
      <c r="P79" s="35">
        <f t="shared" si="19"/>
        <v>4.9035318248830198</v>
      </c>
      <c r="Q79" s="35">
        <f t="shared" si="20"/>
        <v>0.12756632064590542</v>
      </c>
      <c r="R79" s="35">
        <f t="shared" si="21"/>
        <v>0.15680880330123798</v>
      </c>
      <c r="S79" s="35"/>
      <c r="T79" s="35"/>
      <c r="U79" s="35">
        <f t="shared" si="22"/>
        <v>0</v>
      </c>
      <c r="V79" s="35">
        <f t="shared" si="23"/>
        <v>0</v>
      </c>
    </row>
    <row r="80" spans="1:22" x14ac:dyDescent="0.2">
      <c r="A80" s="632" t="s">
        <v>230</v>
      </c>
      <c r="B80" t="s">
        <v>902</v>
      </c>
      <c r="C80" t="s">
        <v>904</v>
      </c>
      <c r="D80" s="170">
        <v>408000</v>
      </c>
      <c r="E80" s="42">
        <v>77300</v>
      </c>
      <c r="F80" s="42">
        <v>75100</v>
      </c>
      <c r="G80" s="42">
        <v>2330000</v>
      </c>
      <c r="H80" s="42">
        <v>342000</v>
      </c>
      <c r="I80" s="42">
        <v>91500</v>
      </c>
      <c r="J80" s="42">
        <v>8090000</v>
      </c>
      <c r="K80" s="42">
        <v>643000</v>
      </c>
      <c r="L80" s="42">
        <v>310000</v>
      </c>
      <c r="M80" s="114">
        <f t="shared" si="16"/>
        <v>12366900</v>
      </c>
      <c r="N80" s="35">
        <f t="shared" si="17"/>
        <v>73.122609546450605</v>
      </c>
      <c r="O80" s="35">
        <f t="shared" si="18"/>
        <v>22.345939564482613</v>
      </c>
      <c r="P80" s="35">
        <f t="shared" si="19"/>
        <v>4.5314508890667833</v>
      </c>
      <c r="Q80" s="35">
        <f t="shared" si="20"/>
        <v>0.13966604003096317</v>
      </c>
      <c r="R80" s="35">
        <f t="shared" si="21"/>
        <v>0.1899764791025873</v>
      </c>
      <c r="S80" s="35"/>
      <c r="T80" s="35"/>
      <c r="U80" s="35">
        <f t="shared" si="22"/>
        <v>0</v>
      </c>
      <c r="V80" s="35">
        <f t="shared" si="23"/>
        <v>0</v>
      </c>
    </row>
    <row r="81" spans="1:22" x14ac:dyDescent="0.2">
      <c r="A81" s="632" t="s">
        <v>230</v>
      </c>
      <c r="B81" t="s">
        <v>902</v>
      </c>
      <c r="C81" t="s">
        <v>904</v>
      </c>
      <c r="D81" s="170">
        <v>165000</v>
      </c>
      <c r="E81" s="42">
        <v>62000</v>
      </c>
      <c r="F81" s="51">
        <v>0</v>
      </c>
      <c r="G81" s="42">
        <v>1020000</v>
      </c>
      <c r="H81" s="42">
        <v>149000</v>
      </c>
      <c r="I81" s="42">
        <v>40500</v>
      </c>
      <c r="J81" s="42">
        <v>3480000</v>
      </c>
      <c r="K81" s="42">
        <v>291000</v>
      </c>
      <c r="L81" s="42">
        <v>118000</v>
      </c>
      <c r="M81" s="114">
        <f t="shared" si="16"/>
        <v>5325500</v>
      </c>
      <c r="N81" s="35">
        <f t="shared" si="17"/>
        <v>73.026006947704431</v>
      </c>
      <c r="O81" s="35">
        <f t="shared" si="18"/>
        <v>22.711482489907052</v>
      </c>
      <c r="P81" s="35">
        <f t="shared" si="19"/>
        <v>4.262510562388508</v>
      </c>
      <c r="Q81" s="35">
        <f t="shared" si="20"/>
        <v>0.13551041398817176</v>
      </c>
      <c r="R81" s="35">
        <f t="shared" si="21"/>
        <v>0.19016122364613477</v>
      </c>
      <c r="S81" s="35"/>
      <c r="T81" s="35"/>
      <c r="U81" s="35">
        <f t="shared" si="22"/>
        <v>0</v>
      </c>
      <c r="V81" s="35">
        <f t="shared" si="23"/>
        <v>0</v>
      </c>
    </row>
    <row r="82" spans="1:22" x14ac:dyDescent="0.2">
      <c r="A82" s="632" t="s">
        <v>230</v>
      </c>
      <c r="B82" t="s">
        <v>902</v>
      </c>
      <c r="C82" t="s">
        <v>904</v>
      </c>
      <c r="D82" s="170">
        <v>1300000</v>
      </c>
      <c r="E82" s="51">
        <v>0</v>
      </c>
      <c r="F82" s="51">
        <v>0</v>
      </c>
      <c r="G82" s="42">
        <v>6890000</v>
      </c>
      <c r="H82" s="42">
        <v>869000</v>
      </c>
      <c r="I82" s="42">
        <v>219000</v>
      </c>
      <c r="J82" s="42">
        <v>19100000</v>
      </c>
      <c r="K82" s="42">
        <v>1660000</v>
      </c>
      <c r="L82" s="42">
        <v>729000</v>
      </c>
      <c r="M82" s="114">
        <f t="shared" si="16"/>
        <v>30767000</v>
      </c>
      <c r="N82" s="35">
        <f t="shared" si="17"/>
        <v>69.844313712744182</v>
      </c>
      <c r="O82" s="35">
        <f t="shared" si="18"/>
        <v>25.930379952546563</v>
      </c>
      <c r="P82" s="35">
        <f t="shared" si="19"/>
        <v>4.2253063347092663</v>
      </c>
      <c r="Q82" s="35">
        <f t="shared" si="20"/>
        <v>0.14509749173995998</v>
      </c>
      <c r="R82" s="35">
        <f t="shared" si="21"/>
        <v>0.16382552018049637</v>
      </c>
      <c r="S82" s="35"/>
      <c r="T82" s="35"/>
      <c r="U82" s="35">
        <f t="shared" si="22"/>
        <v>0</v>
      </c>
      <c r="V82" s="35">
        <f t="shared" si="23"/>
        <v>0</v>
      </c>
    </row>
    <row r="83" spans="1:22" x14ac:dyDescent="0.2">
      <c r="A83" s="632" t="s">
        <v>230</v>
      </c>
      <c r="B83" t="s">
        <v>902</v>
      </c>
      <c r="C83" t="s">
        <v>904</v>
      </c>
      <c r="D83" s="170">
        <v>346000</v>
      </c>
      <c r="E83" s="51">
        <v>0</v>
      </c>
      <c r="F83" s="51">
        <v>0</v>
      </c>
      <c r="G83" s="42">
        <v>1650000</v>
      </c>
      <c r="H83" s="42">
        <v>206000</v>
      </c>
      <c r="I83" s="42">
        <v>48200</v>
      </c>
      <c r="J83" s="42">
        <v>4280000</v>
      </c>
      <c r="K83" s="42">
        <v>344000</v>
      </c>
      <c r="L83" s="42">
        <v>155000</v>
      </c>
      <c r="M83" s="114">
        <f t="shared" si="16"/>
        <v>7029200</v>
      </c>
      <c r="N83" s="35">
        <f t="shared" si="17"/>
        <v>67.987822227280489</v>
      </c>
      <c r="O83" s="35">
        <f t="shared" si="18"/>
        <v>27.089853752916405</v>
      </c>
      <c r="P83" s="35">
        <f t="shared" si="19"/>
        <v>4.9223240198031073</v>
      </c>
      <c r="Q83" s="35">
        <f t="shared" si="20"/>
        <v>0.13684871311989957</v>
      </c>
      <c r="R83" s="35">
        <f t="shared" si="21"/>
        <v>0.15880684802016595</v>
      </c>
      <c r="S83" s="35"/>
      <c r="T83" s="35"/>
      <c r="U83" s="35">
        <f t="shared" si="22"/>
        <v>0</v>
      </c>
      <c r="V83" s="35">
        <f t="shared" si="23"/>
        <v>0</v>
      </c>
    </row>
    <row r="84" spans="1:22" x14ac:dyDescent="0.2">
      <c r="A84" s="632" t="s">
        <v>230</v>
      </c>
      <c r="B84" t="s">
        <v>902</v>
      </c>
      <c r="C84" t="s">
        <v>904</v>
      </c>
      <c r="D84" s="170">
        <v>612000</v>
      </c>
      <c r="E84" s="42">
        <v>108000</v>
      </c>
      <c r="F84" s="42">
        <v>109000</v>
      </c>
      <c r="G84" s="42">
        <v>3150000</v>
      </c>
      <c r="H84" s="42">
        <v>417000</v>
      </c>
      <c r="I84" s="42">
        <v>68500</v>
      </c>
      <c r="J84" s="42">
        <v>8200000</v>
      </c>
      <c r="K84" s="42">
        <v>680000</v>
      </c>
      <c r="L84" s="42">
        <v>298000</v>
      </c>
      <c r="M84" s="114">
        <f t="shared" si="16"/>
        <v>13642500</v>
      </c>
      <c r="N84" s="35">
        <f t="shared" si="17"/>
        <v>67.275059556532895</v>
      </c>
      <c r="O84" s="35">
        <f t="shared" si="18"/>
        <v>26.648341579622503</v>
      </c>
      <c r="P84" s="35">
        <f t="shared" si="19"/>
        <v>6.0765988638446036</v>
      </c>
      <c r="Q84" s="35">
        <f t="shared" si="20"/>
        <v>0.1390281106994988</v>
      </c>
      <c r="R84" s="35">
        <f t="shared" si="21"/>
        <v>0.15238619172053364</v>
      </c>
      <c r="S84" s="35"/>
      <c r="T84" s="35"/>
      <c r="U84" s="35">
        <f t="shared" si="22"/>
        <v>0</v>
      </c>
      <c r="V84" s="35">
        <f t="shared" si="23"/>
        <v>0</v>
      </c>
    </row>
    <row r="85" spans="1:22" x14ac:dyDescent="0.2">
      <c r="A85" s="632" t="s">
        <v>230</v>
      </c>
      <c r="B85" t="s">
        <v>902</v>
      </c>
      <c r="C85" t="s">
        <v>904</v>
      </c>
      <c r="D85" s="171">
        <v>1250000</v>
      </c>
      <c r="E85" s="51">
        <v>0</v>
      </c>
      <c r="F85" s="42">
        <v>55500</v>
      </c>
      <c r="G85" s="42">
        <v>7320000</v>
      </c>
      <c r="H85" s="42">
        <v>956000</v>
      </c>
      <c r="I85" s="42">
        <v>241000</v>
      </c>
      <c r="J85" s="42">
        <v>21200000</v>
      </c>
      <c r="K85" s="42">
        <v>2180000</v>
      </c>
      <c r="L85" s="42">
        <v>971000</v>
      </c>
      <c r="M85" s="114">
        <f t="shared" si="16"/>
        <v>34173500</v>
      </c>
      <c r="N85" s="35">
        <f t="shared" si="17"/>
        <v>71.256968118571407</v>
      </c>
      <c r="O85" s="35">
        <f t="shared" si="18"/>
        <v>24.922820313985984</v>
      </c>
      <c r="P85" s="35">
        <f t="shared" si="19"/>
        <v>3.8202115674426094</v>
      </c>
      <c r="Q85" s="35">
        <f t="shared" si="20"/>
        <v>0.16927436244918073</v>
      </c>
      <c r="R85" s="35">
        <f t="shared" si="21"/>
        <v>0.16883879300223084</v>
      </c>
      <c r="S85" s="35"/>
      <c r="T85" s="35"/>
      <c r="U85" s="35">
        <f t="shared" si="22"/>
        <v>0</v>
      </c>
      <c r="V85" s="35">
        <f t="shared" si="23"/>
        <v>0</v>
      </c>
    </row>
    <row r="86" spans="1:22" x14ac:dyDescent="0.2">
      <c r="A86" s="632" t="s">
        <v>230</v>
      </c>
      <c r="B86" t="s">
        <v>902</v>
      </c>
      <c r="C86" t="s">
        <v>904</v>
      </c>
      <c r="D86" s="171">
        <v>1010000</v>
      </c>
      <c r="E86" s="51">
        <v>0</v>
      </c>
      <c r="F86" s="51">
        <v>0</v>
      </c>
      <c r="G86" s="42">
        <v>6460000</v>
      </c>
      <c r="H86" s="42">
        <v>760000</v>
      </c>
      <c r="I86" s="42">
        <v>178000</v>
      </c>
      <c r="J86" s="42">
        <v>17500000</v>
      </c>
      <c r="K86" s="42">
        <v>1500000</v>
      </c>
      <c r="L86" s="42">
        <v>910000</v>
      </c>
      <c r="M86" s="114">
        <f t="shared" si="16"/>
        <v>28318000</v>
      </c>
      <c r="N86" s="35">
        <f t="shared" si="17"/>
        <v>70.308637615650824</v>
      </c>
      <c r="O86" s="35">
        <f t="shared" si="18"/>
        <v>26.124726322480402</v>
      </c>
      <c r="P86" s="35">
        <f t="shared" si="19"/>
        <v>3.5666360618687762</v>
      </c>
      <c r="Q86" s="35">
        <f t="shared" si="20"/>
        <v>0.16675037669512807</v>
      </c>
      <c r="R86" s="35">
        <f t="shared" si="21"/>
        <v>0.15085158150851583</v>
      </c>
      <c r="S86" s="35"/>
      <c r="T86" s="35"/>
      <c r="U86" s="35">
        <f t="shared" si="22"/>
        <v>0</v>
      </c>
      <c r="V86" s="35">
        <f t="shared" si="23"/>
        <v>0</v>
      </c>
    </row>
    <row r="87" spans="1:22" x14ac:dyDescent="0.2">
      <c r="A87" s="632" t="s">
        <v>230</v>
      </c>
      <c r="B87" t="s">
        <v>902</v>
      </c>
      <c r="C87" t="s">
        <v>904</v>
      </c>
      <c r="D87" s="172">
        <v>87100</v>
      </c>
      <c r="E87" s="51">
        <v>0</v>
      </c>
      <c r="F87" s="55">
        <v>0</v>
      </c>
      <c r="G87" s="55">
        <v>214000</v>
      </c>
      <c r="H87" s="55">
        <v>37500</v>
      </c>
      <c r="I87" s="55">
        <v>11800</v>
      </c>
      <c r="J87" s="55">
        <v>1330000</v>
      </c>
      <c r="K87" s="55">
        <v>71600</v>
      </c>
      <c r="L87" s="55">
        <v>50100</v>
      </c>
      <c r="M87" s="114">
        <f t="shared" si="16"/>
        <v>1802100</v>
      </c>
      <c r="N87" s="35">
        <f t="shared" si="17"/>
        <v>80.556017979024475</v>
      </c>
      <c r="O87" s="35">
        <f t="shared" si="18"/>
        <v>14.610731923866599</v>
      </c>
      <c r="P87" s="35">
        <f t="shared" si="19"/>
        <v>4.8332500971089285</v>
      </c>
      <c r="Q87" s="35">
        <f t="shared" si="20"/>
        <v>0.11834401047048289</v>
      </c>
      <c r="R87" s="35">
        <f t="shared" si="21"/>
        <v>0.23205469046714775</v>
      </c>
      <c r="S87" s="35"/>
      <c r="T87" s="35"/>
      <c r="U87" s="35">
        <f t="shared" si="22"/>
        <v>0</v>
      </c>
      <c r="V87" s="35">
        <f t="shared" si="23"/>
        <v>0</v>
      </c>
    </row>
    <row r="88" spans="1:22" x14ac:dyDescent="0.2">
      <c r="A88" s="632" t="s">
        <v>230</v>
      </c>
      <c r="B88" t="s">
        <v>902</v>
      </c>
      <c r="C88" t="s">
        <v>904</v>
      </c>
      <c r="D88" s="173">
        <v>73900</v>
      </c>
      <c r="E88" s="51">
        <v>12800</v>
      </c>
      <c r="F88" s="55">
        <v>0</v>
      </c>
      <c r="G88" s="55">
        <v>119000</v>
      </c>
      <c r="H88" s="55">
        <v>36500</v>
      </c>
      <c r="I88" s="55">
        <v>0</v>
      </c>
      <c r="J88" s="55">
        <v>1670000</v>
      </c>
      <c r="K88" s="55">
        <v>64000</v>
      </c>
      <c r="L88" s="55">
        <v>34600</v>
      </c>
      <c r="M88" s="114">
        <f t="shared" si="16"/>
        <v>2010800</v>
      </c>
      <c r="N88" s="35">
        <f t="shared" si="17"/>
        <v>87.955042769047139</v>
      </c>
      <c r="O88" s="35">
        <f t="shared" si="18"/>
        <v>7.7332405012930181</v>
      </c>
      <c r="P88" s="35">
        <f t="shared" si="19"/>
        <v>4.3117167296598371</v>
      </c>
      <c r="Q88" s="35">
        <f t="shared" si="20"/>
        <v>7.5313807531380755E-2</v>
      </c>
      <c r="R88" s="35">
        <f t="shared" si="21"/>
        <v>0.2347266881028939</v>
      </c>
      <c r="S88" s="35"/>
      <c r="T88" s="35"/>
      <c r="U88" s="35">
        <f t="shared" si="22"/>
        <v>0</v>
      </c>
      <c r="V88" s="35">
        <f t="shared" si="23"/>
        <v>0</v>
      </c>
    </row>
    <row r="89" spans="1:22" x14ac:dyDescent="0.2">
      <c r="A89" s="632" t="s">
        <v>230</v>
      </c>
      <c r="B89" t="s">
        <v>902</v>
      </c>
      <c r="C89" t="s">
        <v>904</v>
      </c>
      <c r="D89" s="173">
        <v>35800</v>
      </c>
      <c r="E89" s="51">
        <v>0</v>
      </c>
      <c r="F89" s="55">
        <v>0</v>
      </c>
      <c r="G89" s="55">
        <v>95400</v>
      </c>
      <c r="H89" s="55">
        <v>27800</v>
      </c>
      <c r="I89" s="55">
        <v>0</v>
      </c>
      <c r="J89" s="55">
        <v>1180000</v>
      </c>
      <c r="K89" s="55">
        <v>41800</v>
      </c>
      <c r="L89" s="55">
        <v>27500</v>
      </c>
      <c r="M89" s="114">
        <f t="shared" si="16"/>
        <v>1408300</v>
      </c>
      <c r="N89" s="35">
        <f t="shared" si="17"/>
        <v>88.70979194773841</v>
      </c>
      <c r="O89" s="35">
        <f t="shared" si="18"/>
        <v>8.7481360505574095</v>
      </c>
      <c r="P89" s="35">
        <f t="shared" si="19"/>
        <v>2.5420720017041822</v>
      </c>
      <c r="Q89" s="35">
        <f t="shared" si="20"/>
        <v>7.748339069879133E-2</v>
      </c>
      <c r="R89" s="35">
        <f t="shared" si="21"/>
        <v>0.22564935064935066</v>
      </c>
      <c r="S89" s="35"/>
      <c r="T89" s="35"/>
      <c r="U89" s="35">
        <f t="shared" si="22"/>
        <v>0</v>
      </c>
      <c r="V89" s="35">
        <f t="shared" si="23"/>
        <v>0</v>
      </c>
    </row>
    <row r="90" spans="1:22" x14ac:dyDescent="0.2">
      <c r="A90" s="632" t="s">
        <v>230</v>
      </c>
      <c r="B90" t="s">
        <v>902</v>
      </c>
      <c r="C90" t="s">
        <v>904</v>
      </c>
      <c r="D90" s="173">
        <v>49600</v>
      </c>
      <c r="E90" s="51">
        <v>0</v>
      </c>
      <c r="F90" s="55">
        <v>0</v>
      </c>
      <c r="G90" s="55">
        <v>90700</v>
      </c>
      <c r="H90" s="55">
        <v>29900</v>
      </c>
      <c r="I90" s="55">
        <v>0</v>
      </c>
      <c r="J90" s="55">
        <v>1220000</v>
      </c>
      <c r="K90" s="55">
        <v>39700</v>
      </c>
      <c r="L90" s="55">
        <v>30300</v>
      </c>
      <c r="M90" s="114">
        <f t="shared" si="16"/>
        <v>1460200</v>
      </c>
      <c r="N90" s="35">
        <f t="shared" si="17"/>
        <v>88.344062457197651</v>
      </c>
      <c r="O90" s="35">
        <f t="shared" si="18"/>
        <v>8.2591425832077796</v>
      </c>
      <c r="P90" s="35">
        <f t="shared" si="19"/>
        <v>3.3967949595945761</v>
      </c>
      <c r="Q90" s="35">
        <f t="shared" si="20"/>
        <v>7.7751937984496131E-2</v>
      </c>
      <c r="R90" s="35">
        <f t="shared" si="21"/>
        <v>0.24792703150912107</v>
      </c>
      <c r="S90" s="35"/>
      <c r="T90" s="35"/>
      <c r="U90" s="35">
        <f t="shared" si="22"/>
        <v>0</v>
      </c>
      <c r="V90" s="35">
        <f t="shared" si="23"/>
        <v>0</v>
      </c>
    </row>
    <row r="91" spans="1:22" x14ac:dyDescent="0.2">
      <c r="A91" s="632" t="s">
        <v>230</v>
      </c>
      <c r="B91" t="s">
        <v>902</v>
      </c>
      <c r="C91" t="s">
        <v>904</v>
      </c>
      <c r="D91" s="173">
        <v>70700</v>
      </c>
      <c r="E91" s="51">
        <v>10200</v>
      </c>
      <c r="F91" s="55">
        <v>0</v>
      </c>
      <c r="G91" s="55">
        <v>139000</v>
      </c>
      <c r="H91" s="55">
        <v>42600</v>
      </c>
      <c r="I91" s="55">
        <v>12800</v>
      </c>
      <c r="J91" s="55">
        <v>1910000</v>
      </c>
      <c r="K91" s="55">
        <v>79400</v>
      </c>
      <c r="L91" s="55">
        <v>82500</v>
      </c>
      <c r="M91" s="114">
        <f t="shared" si="16"/>
        <v>2347200</v>
      </c>
      <c r="N91" s="35">
        <f t="shared" si="17"/>
        <v>88.271131561008858</v>
      </c>
      <c r="O91" s="35">
        <f t="shared" si="18"/>
        <v>8.2822085889570545</v>
      </c>
      <c r="P91" s="35">
        <f t="shared" si="19"/>
        <v>3.446659850034083</v>
      </c>
      <c r="Q91" s="35">
        <f t="shared" si="20"/>
        <v>0.11795936097301993</v>
      </c>
      <c r="R91" s="35">
        <f t="shared" si="21"/>
        <v>0.3508230452674897</v>
      </c>
      <c r="S91" s="35"/>
      <c r="T91" s="35"/>
      <c r="U91" s="35">
        <f t="shared" si="22"/>
        <v>0</v>
      </c>
      <c r="V91" s="35">
        <f t="shared" si="23"/>
        <v>0</v>
      </c>
    </row>
    <row r="92" spans="1:22" x14ac:dyDescent="0.2">
      <c r="A92" s="632" t="s">
        <v>230</v>
      </c>
      <c r="B92" t="s">
        <v>902</v>
      </c>
      <c r="C92" t="s">
        <v>904</v>
      </c>
      <c r="D92" s="174">
        <v>128000</v>
      </c>
      <c r="E92" s="55">
        <v>0</v>
      </c>
      <c r="F92" s="55">
        <v>0</v>
      </c>
      <c r="G92" s="55">
        <v>254000</v>
      </c>
      <c r="H92" s="55">
        <v>72300</v>
      </c>
      <c r="I92" s="55">
        <v>23600</v>
      </c>
      <c r="J92" s="55">
        <v>3200000</v>
      </c>
      <c r="K92" s="55">
        <v>155000</v>
      </c>
      <c r="L92" s="55">
        <v>100000</v>
      </c>
      <c r="M92" s="114">
        <f t="shared" si="16"/>
        <v>3932900</v>
      </c>
      <c r="N92" s="35">
        <f t="shared" si="17"/>
        <v>87.848661293193317</v>
      </c>
      <c r="O92" s="35">
        <f t="shared" si="18"/>
        <v>8.896742861501691</v>
      </c>
      <c r="P92" s="35">
        <f t="shared" si="19"/>
        <v>3.254595845304991</v>
      </c>
      <c r="Q92" s="35">
        <f t="shared" si="20"/>
        <v>0.10274963820549927</v>
      </c>
      <c r="R92" s="35">
        <f t="shared" si="21"/>
        <v>0.34152615032866535</v>
      </c>
      <c r="S92" s="35"/>
      <c r="T92" s="35"/>
      <c r="U92" s="35">
        <f t="shared" si="22"/>
        <v>0</v>
      </c>
      <c r="V92" s="35">
        <f t="shared" si="23"/>
        <v>0</v>
      </c>
    </row>
    <row r="93" spans="1:22" x14ac:dyDescent="0.2">
      <c r="A93" s="632" t="s">
        <v>230</v>
      </c>
      <c r="B93" t="s">
        <v>902</v>
      </c>
      <c r="C93" t="s">
        <v>904</v>
      </c>
      <c r="D93" s="174">
        <v>65600</v>
      </c>
      <c r="E93" s="55">
        <v>0</v>
      </c>
      <c r="F93" s="55">
        <v>0</v>
      </c>
      <c r="G93" s="55">
        <v>112000</v>
      </c>
      <c r="H93" s="55">
        <v>32000</v>
      </c>
      <c r="I93" s="55">
        <v>0</v>
      </c>
      <c r="J93" s="55">
        <v>1990000</v>
      </c>
      <c r="K93" s="55">
        <v>67200</v>
      </c>
      <c r="L93" s="55">
        <v>45000</v>
      </c>
      <c r="M93" s="114">
        <f t="shared" si="16"/>
        <v>2311800</v>
      </c>
      <c r="N93" s="35">
        <f t="shared" si="17"/>
        <v>90.933471753611911</v>
      </c>
      <c r="O93" s="35">
        <f t="shared" si="18"/>
        <v>6.2289125356864785</v>
      </c>
      <c r="P93" s="35">
        <f t="shared" si="19"/>
        <v>2.8376157107016176</v>
      </c>
      <c r="Q93" s="35">
        <f t="shared" si="20"/>
        <v>7.4778803158595752E-2</v>
      </c>
      <c r="R93" s="35">
        <f t="shared" si="21"/>
        <v>0.22222222222222221</v>
      </c>
      <c r="S93" s="35"/>
      <c r="T93" s="35"/>
      <c r="U93" s="35">
        <f t="shared" si="22"/>
        <v>0</v>
      </c>
      <c r="V93" s="35">
        <f t="shared" si="23"/>
        <v>0</v>
      </c>
    </row>
    <row r="94" spans="1:22" x14ac:dyDescent="0.2">
      <c r="A94" s="632" t="s">
        <v>230</v>
      </c>
      <c r="B94" t="s">
        <v>902</v>
      </c>
      <c r="C94" t="s">
        <v>904</v>
      </c>
      <c r="D94" s="174">
        <v>106000</v>
      </c>
      <c r="E94" s="55">
        <v>0</v>
      </c>
      <c r="F94" s="55">
        <v>0</v>
      </c>
      <c r="G94" s="55">
        <v>171000</v>
      </c>
      <c r="H94" s="55">
        <v>46700</v>
      </c>
      <c r="I94" s="55">
        <v>11200</v>
      </c>
      <c r="J94" s="55">
        <v>2600000</v>
      </c>
      <c r="K94" s="55">
        <v>94300</v>
      </c>
      <c r="L94" s="55">
        <v>52200</v>
      </c>
      <c r="M94" s="114">
        <f t="shared" si="16"/>
        <v>3081400</v>
      </c>
      <c r="N94" s="35">
        <f t="shared" si="17"/>
        <v>89.131563574998367</v>
      </c>
      <c r="O94" s="35">
        <f t="shared" si="18"/>
        <v>7.4284416174466159</v>
      </c>
      <c r="P94" s="35">
        <f t="shared" si="19"/>
        <v>3.4399948075550073</v>
      </c>
      <c r="Q94" s="35">
        <f t="shared" si="20"/>
        <v>7.234662297469506E-2</v>
      </c>
      <c r="R94" s="35">
        <f t="shared" si="21"/>
        <v>0.30187854958497162</v>
      </c>
      <c r="S94" s="35"/>
      <c r="T94" s="35"/>
      <c r="U94" s="35">
        <f t="shared" si="22"/>
        <v>0</v>
      </c>
      <c r="V94" s="35">
        <f t="shared" si="23"/>
        <v>0</v>
      </c>
    </row>
    <row r="95" spans="1:22" x14ac:dyDescent="0.2">
      <c r="A95" s="632" t="s">
        <v>230</v>
      </c>
      <c r="B95" t="s">
        <v>902</v>
      </c>
      <c r="C95" t="s">
        <v>904</v>
      </c>
      <c r="D95" s="174">
        <v>216000</v>
      </c>
      <c r="E95" s="55">
        <v>31100</v>
      </c>
      <c r="F95" s="55">
        <v>11000</v>
      </c>
      <c r="G95" s="55">
        <v>444000</v>
      </c>
      <c r="H95" s="55">
        <v>99300</v>
      </c>
      <c r="I95" s="55">
        <v>31200</v>
      </c>
      <c r="J95" s="55">
        <v>4520000</v>
      </c>
      <c r="K95" s="55">
        <v>202000</v>
      </c>
      <c r="L95" s="55">
        <v>102000</v>
      </c>
      <c r="M95" s="114">
        <f t="shared" si="16"/>
        <v>5656600</v>
      </c>
      <c r="N95" s="35">
        <f t="shared" si="17"/>
        <v>85.280910794470174</v>
      </c>
      <c r="O95" s="35">
        <f t="shared" si="18"/>
        <v>10.156277622600149</v>
      </c>
      <c r="P95" s="35">
        <f t="shared" si="19"/>
        <v>4.5628115829296751</v>
      </c>
      <c r="Q95" s="35">
        <f t="shared" si="20"/>
        <v>8.4162520729684914E-2</v>
      </c>
      <c r="R95" s="35">
        <f t="shared" si="21"/>
        <v>0.2814621409921671</v>
      </c>
      <c r="S95" s="35"/>
      <c r="T95" s="35"/>
      <c r="U95" s="35">
        <f t="shared" si="22"/>
        <v>0</v>
      </c>
      <c r="V95" s="35">
        <f t="shared" si="23"/>
        <v>0</v>
      </c>
    </row>
    <row r="96" spans="1:22" x14ac:dyDescent="0.2">
      <c r="A96" s="632" t="s">
        <v>230</v>
      </c>
      <c r="B96" t="s">
        <v>902</v>
      </c>
      <c r="C96" t="s">
        <v>904</v>
      </c>
      <c r="D96" s="174">
        <v>308000</v>
      </c>
      <c r="E96" s="55">
        <v>46000</v>
      </c>
      <c r="F96" s="55">
        <v>11200</v>
      </c>
      <c r="G96" s="55">
        <v>640000</v>
      </c>
      <c r="H96" s="55">
        <v>153000</v>
      </c>
      <c r="I96" s="55">
        <v>30900</v>
      </c>
      <c r="J96" s="55">
        <v>6410000</v>
      </c>
      <c r="K96" s="55">
        <v>261000</v>
      </c>
      <c r="L96" s="55">
        <v>133000</v>
      </c>
      <c r="M96" s="114">
        <f t="shared" si="16"/>
        <v>7993100</v>
      </c>
      <c r="N96" s="35">
        <f t="shared" si="17"/>
        <v>85.12341894884338</v>
      </c>
      <c r="O96" s="35">
        <f t="shared" si="18"/>
        <v>10.307640339793071</v>
      </c>
      <c r="P96" s="35">
        <f t="shared" si="19"/>
        <v>4.5689407113635516</v>
      </c>
      <c r="Q96" s="35">
        <f t="shared" si="20"/>
        <v>7.7454438565549677E-2</v>
      </c>
      <c r="R96" s="35">
        <f t="shared" si="21"/>
        <v>0.26071125136545698</v>
      </c>
      <c r="S96" s="35"/>
      <c r="T96" s="35"/>
      <c r="U96" s="35">
        <f t="shared" si="22"/>
        <v>0</v>
      </c>
      <c r="V96" s="35">
        <f t="shared" si="23"/>
        <v>0</v>
      </c>
    </row>
    <row r="97" spans="1:22" x14ac:dyDescent="0.2">
      <c r="A97" s="632" t="s">
        <v>230</v>
      </c>
      <c r="B97" t="s">
        <v>902</v>
      </c>
      <c r="C97" t="s">
        <v>904</v>
      </c>
      <c r="D97" s="174">
        <v>86000</v>
      </c>
      <c r="E97" s="55">
        <v>0</v>
      </c>
      <c r="F97" s="55">
        <v>0</v>
      </c>
      <c r="G97" s="55">
        <v>157000</v>
      </c>
      <c r="H97" s="55">
        <v>48000</v>
      </c>
      <c r="I97" s="55">
        <v>15500</v>
      </c>
      <c r="J97" s="55">
        <v>2390000</v>
      </c>
      <c r="K97" s="55">
        <v>88000</v>
      </c>
      <c r="L97" s="55">
        <v>58600</v>
      </c>
      <c r="M97" s="114">
        <f t="shared" si="16"/>
        <v>2843100</v>
      </c>
      <c r="N97" s="35">
        <f t="shared" si="17"/>
        <v>89.219513910871939</v>
      </c>
      <c r="O97" s="35">
        <f t="shared" si="18"/>
        <v>7.7556188667299786</v>
      </c>
      <c r="P97" s="35">
        <f t="shared" si="19"/>
        <v>3.0248672223980866</v>
      </c>
      <c r="Q97" s="35">
        <f t="shared" si="20"/>
        <v>8.0895687140266501E-2</v>
      </c>
      <c r="R97" s="35">
        <f t="shared" si="21"/>
        <v>0.35827664399092973</v>
      </c>
      <c r="S97" s="35"/>
      <c r="T97" s="35"/>
      <c r="U97" s="35">
        <f t="shared" si="22"/>
        <v>0</v>
      </c>
      <c r="V97" s="35">
        <f t="shared" si="23"/>
        <v>0</v>
      </c>
    </row>
    <row r="98" spans="1:22" x14ac:dyDescent="0.2">
      <c r="A98" s="632" t="s">
        <v>230</v>
      </c>
      <c r="B98" t="s">
        <v>902</v>
      </c>
      <c r="C98" t="s">
        <v>904</v>
      </c>
      <c r="D98" s="172">
        <v>94400</v>
      </c>
      <c r="E98" s="54">
        <v>0</v>
      </c>
      <c r="F98" s="54">
        <v>0</v>
      </c>
      <c r="G98" s="54">
        <v>310000</v>
      </c>
      <c r="H98" s="54">
        <v>77400</v>
      </c>
      <c r="I98" s="54">
        <v>18300</v>
      </c>
      <c r="J98" s="54">
        <v>1910000</v>
      </c>
      <c r="K98" s="54">
        <v>132000</v>
      </c>
      <c r="L98" s="55">
        <v>50900</v>
      </c>
      <c r="M98" s="114">
        <f t="shared" si="16"/>
        <v>2593000</v>
      </c>
      <c r="N98" s="35">
        <f t="shared" si="17"/>
        <v>80.713459313536447</v>
      </c>
      <c r="O98" s="35">
        <f t="shared" si="18"/>
        <v>15.645969919012725</v>
      </c>
      <c r="P98" s="35">
        <f t="shared" si="19"/>
        <v>3.6405707674508294</v>
      </c>
      <c r="Q98" s="35">
        <f t="shared" si="20"/>
        <v>0.11171102298246452</v>
      </c>
      <c r="R98" s="35">
        <f t="shared" si="21"/>
        <v>0.28099580971160959</v>
      </c>
      <c r="S98" s="35"/>
      <c r="T98" s="35"/>
      <c r="U98" s="35">
        <f t="shared" si="22"/>
        <v>0</v>
      </c>
      <c r="V98" s="35">
        <f t="shared" si="23"/>
        <v>0</v>
      </c>
    </row>
    <row r="99" spans="1:22" x14ac:dyDescent="0.2">
      <c r="A99" s="632" t="s">
        <v>230</v>
      </c>
      <c r="B99" t="s">
        <v>902</v>
      </c>
      <c r="C99" t="s">
        <v>904</v>
      </c>
      <c r="D99" s="172">
        <v>59200</v>
      </c>
      <c r="E99" s="54">
        <v>0</v>
      </c>
      <c r="F99" s="54">
        <v>0</v>
      </c>
      <c r="G99" s="54">
        <v>114000</v>
      </c>
      <c r="H99" s="54">
        <v>30900</v>
      </c>
      <c r="I99" s="54">
        <v>0</v>
      </c>
      <c r="J99" s="54">
        <v>1360000</v>
      </c>
      <c r="K99" s="54">
        <v>51900</v>
      </c>
      <c r="L99" s="55">
        <v>26700</v>
      </c>
      <c r="M99" s="114">
        <f t="shared" si="16"/>
        <v>1642700</v>
      </c>
      <c r="N99" s="35">
        <f t="shared" si="17"/>
        <v>87.575333292749747</v>
      </c>
      <c r="O99" s="35">
        <f t="shared" si="18"/>
        <v>8.8208437328787976</v>
      </c>
      <c r="P99" s="35">
        <f t="shared" si="19"/>
        <v>3.6038229743714614</v>
      </c>
      <c r="Q99" s="35">
        <f t="shared" si="20"/>
        <v>7.3196162936187956E-2</v>
      </c>
      <c r="R99" s="35">
        <f t="shared" si="21"/>
        <v>0.21325051759834368</v>
      </c>
      <c r="S99" s="35"/>
      <c r="T99" s="35"/>
      <c r="U99" s="35">
        <f t="shared" si="22"/>
        <v>0</v>
      </c>
      <c r="V99" s="35">
        <f t="shared" si="23"/>
        <v>0</v>
      </c>
    </row>
    <row r="100" spans="1:22" x14ac:dyDescent="0.2">
      <c r="A100" s="632" t="s">
        <v>230</v>
      </c>
      <c r="B100" t="s">
        <v>902</v>
      </c>
      <c r="C100" t="s">
        <v>904</v>
      </c>
      <c r="D100" s="172">
        <v>30400</v>
      </c>
      <c r="E100" s="54">
        <v>0</v>
      </c>
      <c r="F100" s="54">
        <v>0</v>
      </c>
      <c r="G100" s="54">
        <v>45200</v>
      </c>
      <c r="H100" s="54">
        <v>16500</v>
      </c>
      <c r="I100" s="54">
        <v>0</v>
      </c>
      <c r="J100" s="54">
        <v>788000</v>
      </c>
      <c r="K100" s="54">
        <v>20300</v>
      </c>
      <c r="L100" s="55">
        <v>14600</v>
      </c>
      <c r="M100" s="114">
        <f t="shared" si="16"/>
        <v>915000</v>
      </c>
      <c r="N100" s="35">
        <f t="shared" si="17"/>
        <v>89.934426229508205</v>
      </c>
      <c r="O100" s="35">
        <f t="shared" si="18"/>
        <v>6.7431693989071038</v>
      </c>
      <c r="P100" s="35">
        <f t="shared" si="19"/>
        <v>3.3224043715846996</v>
      </c>
      <c r="Q100" s="35">
        <f t="shared" si="20"/>
        <v>6.015311702515494E-2</v>
      </c>
      <c r="R100" s="35">
        <f t="shared" si="21"/>
        <v>0.26742301458670986</v>
      </c>
      <c r="S100" s="35"/>
      <c r="T100" s="35"/>
      <c r="U100" s="35">
        <f t="shared" si="22"/>
        <v>0</v>
      </c>
      <c r="V100" s="35">
        <f t="shared" si="23"/>
        <v>0</v>
      </c>
    </row>
    <row r="101" spans="1:22" x14ac:dyDescent="0.2">
      <c r="A101" s="632" t="s">
        <v>230</v>
      </c>
      <c r="B101" t="s">
        <v>902</v>
      </c>
      <c r="C101" t="s">
        <v>904</v>
      </c>
      <c r="D101" s="172">
        <v>56000</v>
      </c>
      <c r="E101" s="54">
        <v>0</v>
      </c>
      <c r="F101" s="54">
        <v>0</v>
      </c>
      <c r="G101" s="54">
        <v>105000</v>
      </c>
      <c r="H101" s="54">
        <v>30100</v>
      </c>
      <c r="I101" s="54">
        <v>0</v>
      </c>
      <c r="J101" s="54">
        <v>1330000</v>
      </c>
      <c r="K101" s="54">
        <v>48400</v>
      </c>
      <c r="L101" s="55">
        <v>25600</v>
      </c>
      <c r="M101" s="114">
        <f t="shared" si="16"/>
        <v>1595100</v>
      </c>
      <c r="N101" s="35">
        <f t="shared" si="17"/>
        <v>88.019559902200484</v>
      </c>
      <c r="O101" s="35">
        <f t="shared" si="18"/>
        <v>8.4696884207886658</v>
      </c>
      <c r="P101" s="35">
        <f t="shared" si="19"/>
        <v>3.5107516770108456</v>
      </c>
      <c r="Q101" s="35">
        <f t="shared" si="20"/>
        <v>7.0940170940170938E-2</v>
      </c>
      <c r="R101" s="35">
        <f t="shared" si="21"/>
        <v>0.22279792746113988</v>
      </c>
      <c r="S101" s="35"/>
      <c r="T101" s="35"/>
      <c r="U101" s="35">
        <f t="shared" si="22"/>
        <v>0</v>
      </c>
      <c r="V101" s="35">
        <f t="shared" si="23"/>
        <v>0</v>
      </c>
    </row>
    <row r="102" spans="1:22" x14ac:dyDescent="0.2">
      <c r="A102" s="632" t="s">
        <v>230</v>
      </c>
      <c r="B102" t="s">
        <v>902</v>
      </c>
      <c r="C102" t="s">
        <v>904</v>
      </c>
      <c r="D102" s="172">
        <v>10100</v>
      </c>
      <c r="E102" s="54">
        <v>0</v>
      </c>
      <c r="F102" s="54">
        <v>0</v>
      </c>
      <c r="G102" s="54">
        <v>28700</v>
      </c>
      <c r="H102" s="54">
        <v>0</v>
      </c>
      <c r="I102" s="54">
        <v>0</v>
      </c>
      <c r="J102" s="54">
        <v>552000</v>
      </c>
      <c r="K102" s="54">
        <v>17000</v>
      </c>
      <c r="L102" s="55">
        <v>11400</v>
      </c>
      <c r="M102" s="114">
        <f t="shared" si="16"/>
        <v>619200</v>
      </c>
      <c r="N102" s="35">
        <f t="shared" si="17"/>
        <v>93.73385012919897</v>
      </c>
      <c r="O102" s="35">
        <f t="shared" si="18"/>
        <v>4.6350129198966412</v>
      </c>
      <c r="P102" s="35">
        <f t="shared" si="19"/>
        <v>1.6311369509043927</v>
      </c>
      <c r="Q102" s="35">
        <f t="shared" si="20"/>
        <v>6.8573397656788423E-2</v>
      </c>
      <c r="R102" s="35">
        <f t="shared" si="21"/>
        <v>0</v>
      </c>
      <c r="S102" s="35"/>
      <c r="T102" s="35"/>
      <c r="U102" s="35">
        <f t="shared" si="22"/>
        <v>0</v>
      </c>
      <c r="V102" s="35">
        <f t="shared" si="23"/>
        <v>0</v>
      </c>
    </row>
    <row r="103" spans="1:22" x14ac:dyDescent="0.2">
      <c r="A103" s="632" t="s">
        <v>230</v>
      </c>
      <c r="B103" t="s">
        <v>902</v>
      </c>
      <c r="C103" t="s">
        <v>904</v>
      </c>
      <c r="D103" s="172">
        <v>137000</v>
      </c>
      <c r="E103" s="54">
        <v>17300</v>
      </c>
      <c r="F103" s="54">
        <v>0</v>
      </c>
      <c r="G103" s="54">
        <v>258000</v>
      </c>
      <c r="H103" s="54">
        <v>64800</v>
      </c>
      <c r="I103" s="54">
        <v>14600</v>
      </c>
      <c r="J103" s="54">
        <v>3250000</v>
      </c>
      <c r="K103" s="54">
        <v>141000</v>
      </c>
      <c r="L103" s="55">
        <v>75300</v>
      </c>
      <c r="M103" s="114">
        <f t="shared" si="16"/>
        <v>3958000</v>
      </c>
      <c r="N103" s="35">
        <f t="shared" si="17"/>
        <v>87.57705912076807</v>
      </c>
      <c r="O103" s="35">
        <f t="shared" si="18"/>
        <v>8.5245073269327936</v>
      </c>
      <c r="P103" s="35">
        <f t="shared" si="19"/>
        <v>3.8984335522991409</v>
      </c>
      <c r="Q103" s="35">
        <f t="shared" si="20"/>
        <v>8.4124282376020543E-2</v>
      </c>
      <c r="R103" s="35">
        <f t="shared" si="21"/>
        <v>0.27860106698280973</v>
      </c>
      <c r="S103" s="35"/>
      <c r="T103" s="35"/>
      <c r="U103" s="35">
        <f t="shared" si="22"/>
        <v>0</v>
      </c>
      <c r="V103" s="35">
        <f t="shared" si="23"/>
        <v>0</v>
      </c>
    </row>
    <row r="104" spans="1:22" x14ac:dyDescent="0.2">
      <c r="A104" s="632" t="s">
        <v>230</v>
      </c>
      <c r="B104" t="s">
        <v>902</v>
      </c>
      <c r="C104" t="s">
        <v>904</v>
      </c>
      <c r="D104" s="172">
        <v>59800</v>
      </c>
      <c r="E104" s="54">
        <v>10600</v>
      </c>
      <c r="F104" s="54">
        <v>0</v>
      </c>
      <c r="G104" s="54">
        <v>118000</v>
      </c>
      <c r="H104" s="54">
        <v>34500</v>
      </c>
      <c r="I104" s="54">
        <v>12200</v>
      </c>
      <c r="J104" s="54">
        <v>1300000</v>
      </c>
      <c r="K104" s="54">
        <v>57100</v>
      </c>
      <c r="L104" s="55">
        <v>30200</v>
      </c>
      <c r="M104" s="114">
        <f t="shared" si="16"/>
        <v>1622400</v>
      </c>
      <c r="N104" s="35">
        <f t="shared" si="17"/>
        <v>85.509122287968438</v>
      </c>
      <c r="O104" s="35">
        <f t="shared" si="18"/>
        <v>10.151627218934911</v>
      </c>
      <c r="P104" s="35">
        <f t="shared" si="19"/>
        <v>4.3392504930966469</v>
      </c>
      <c r="Q104" s="35">
        <f t="shared" si="20"/>
        <v>8.4696893245873275E-2</v>
      </c>
      <c r="R104" s="35">
        <f t="shared" si="21"/>
        <v>0.35761991499696416</v>
      </c>
      <c r="S104" s="35"/>
      <c r="T104" s="35"/>
      <c r="U104" s="35">
        <f t="shared" si="22"/>
        <v>0</v>
      </c>
      <c r="V104" s="35">
        <f t="shared" si="23"/>
        <v>0</v>
      </c>
    </row>
    <row r="105" spans="1:22" x14ac:dyDescent="0.2">
      <c r="A105" s="632" t="s">
        <v>230</v>
      </c>
      <c r="B105" t="s">
        <v>902</v>
      </c>
      <c r="C105" t="s">
        <v>904</v>
      </c>
      <c r="D105" s="172">
        <v>13200</v>
      </c>
      <c r="E105" s="54">
        <v>0</v>
      </c>
      <c r="F105" s="54">
        <v>0</v>
      </c>
      <c r="G105" s="54">
        <v>116000</v>
      </c>
      <c r="H105" s="54">
        <v>34900</v>
      </c>
      <c r="I105" s="54">
        <v>0</v>
      </c>
      <c r="J105" s="54">
        <v>362000</v>
      </c>
      <c r="K105" s="54">
        <v>63800</v>
      </c>
      <c r="L105" s="55">
        <v>17200</v>
      </c>
      <c r="M105" s="114">
        <f t="shared" si="16"/>
        <v>607100</v>
      </c>
      <c r="N105" s="35">
        <f t="shared" si="17"/>
        <v>72.969856695766751</v>
      </c>
      <c r="O105" s="35">
        <f t="shared" si="18"/>
        <v>24.85587217921265</v>
      </c>
      <c r="P105" s="35">
        <f t="shared" si="19"/>
        <v>2.1742711250205895</v>
      </c>
      <c r="Q105" s="35">
        <f t="shared" si="20"/>
        <v>0.2216704288939052</v>
      </c>
      <c r="R105" s="35">
        <f t="shared" si="21"/>
        <v>0.23127899271040425</v>
      </c>
      <c r="S105" s="35"/>
      <c r="T105" s="35"/>
      <c r="U105" s="35">
        <f t="shared" si="22"/>
        <v>0</v>
      </c>
      <c r="V105" s="35">
        <f t="shared" si="23"/>
        <v>0</v>
      </c>
    </row>
    <row r="106" spans="1:22" x14ac:dyDescent="0.2">
      <c r="A106" s="632" t="s">
        <v>230</v>
      </c>
      <c r="B106" t="s">
        <v>902</v>
      </c>
      <c r="C106" t="s">
        <v>904</v>
      </c>
      <c r="D106" s="172">
        <v>67300</v>
      </c>
      <c r="E106" s="54">
        <v>0</v>
      </c>
      <c r="F106" s="54">
        <v>0</v>
      </c>
      <c r="G106" s="54">
        <v>158000</v>
      </c>
      <c r="H106" s="54">
        <v>45500</v>
      </c>
      <c r="I106" s="54">
        <v>17400</v>
      </c>
      <c r="J106" s="54">
        <v>2080000</v>
      </c>
      <c r="K106" s="54">
        <v>83900</v>
      </c>
      <c r="L106" s="55">
        <v>44900</v>
      </c>
      <c r="M106" s="114">
        <f t="shared" si="16"/>
        <v>2497000</v>
      </c>
      <c r="N106" s="35">
        <f t="shared" si="17"/>
        <v>88.458149779735677</v>
      </c>
      <c r="O106" s="35">
        <f t="shared" si="18"/>
        <v>8.8466159391269521</v>
      </c>
      <c r="P106" s="35">
        <f t="shared" si="19"/>
        <v>2.6952342811373651</v>
      </c>
      <c r="Q106" s="35">
        <f t="shared" si="20"/>
        <v>7.8639985512495472E-2</v>
      </c>
      <c r="R106" s="35">
        <f t="shared" si="21"/>
        <v>0.36351290176550477</v>
      </c>
      <c r="S106" s="35"/>
      <c r="T106" s="35"/>
      <c r="U106" s="35">
        <f t="shared" si="22"/>
        <v>0</v>
      </c>
      <c r="V106" s="35">
        <f t="shared" si="23"/>
        <v>0</v>
      </c>
    </row>
    <row r="107" spans="1:22" x14ac:dyDescent="0.2">
      <c r="A107" s="632" t="s">
        <v>230</v>
      </c>
      <c r="B107" t="s">
        <v>902</v>
      </c>
      <c r="C107" t="s">
        <v>904</v>
      </c>
      <c r="D107" s="172">
        <v>51900</v>
      </c>
      <c r="E107" s="54">
        <v>0</v>
      </c>
      <c r="F107" s="54">
        <v>0</v>
      </c>
      <c r="G107" s="54">
        <v>132000</v>
      </c>
      <c r="H107" s="54">
        <v>18800</v>
      </c>
      <c r="I107" s="54">
        <v>13500</v>
      </c>
      <c r="J107" s="54">
        <v>1520000</v>
      </c>
      <c r="K107" s="54">
        <v>53900</v>
      </c>
      <c r="L107" s="55">
        <v>36400</v>
      </c>
      <c r="M107" s="114">
        <f t="shared" si="16"/>
        <v>1826500</v>
      </c>
      <c r="N107" s="35">
        <f t="shared" si="17"/>
        <v>88.163153572406245</v>
      </c>
      <c r="O107" s="35">
        <f t="shared" si="18"/>
        <v>8.9953462907199562</v>
      </c>
      <c r="P107" s="35">
        <f t="shared" si="19"/>
        <v>2.8415001368738024</v>
      </c>
      <c r="Q107" s="35">
        <f t="shared" si="20"/>
        <v>7.8680991119667143E-2</v>
      </c>
      <c r="R107" s="35">
        <f t="shared" si="21"/>
        <v>0.27875836883749239</v>
      </c>
      <c r="S107" s="35"/>
      <c r="T107" s="35"/>
      <c r="U107" s="35">
        <f t="shared" si="22"/>
        <v>0</v>
      </c>
      <c r="V107" s="35">
        <f t="shared" si="23"/>
        <v>0</v>
      </c>
    </row>
    <row r="108" spans="1:22" x14ac:dyDescent="0.2">
      <c r="A108" s="632" t="s">
        <v>230</v>
      </c>
      <c r="B108" t="s">
        <v>902</v>
      </c>
      <c r="C108" t="s">
        <v>904</v>
      </c>
      <c r="D108" s="172">
        <v>75600</v>
      </c>
      <c r="E108" s="54">
        <v>0</v>
      </c>
      <c r="F108" s="54">
        <v>0</v>
      </c>
      <c r="G108" s="54">
        <v>211000</v>
      </c>
      <c r="H108" s="54">
        <v>53900</v>
      </c>
      <c r="I108" s="54">
        <v>12000</v>
      </c>
      <c r="J108" s="54">
        <v>2270000</v>
      </c>
      <c r="K108" s="54">
        <v>90200</v>
      </c>
      <c r="L108" s="55">
        <v>26300</v>
      </c>
      <c r="M108" s="114">
        <f t="shared" si="16"/>
        <v>2739000</v>
      </c>
      <c r="N108" s="35">
        <f t="shared" si="17"/>
        <v>87.130339539978095</v>
      </c>
      <c r="O108" s="35">
        <f t="shared" si="18"/>
        <v>10.109529025191675</v>
      </c>
      <c r="P108" s="35">
        <f t="shared" si="19"/>
        <v>2.7601314348302299</v>
      </c>
      <c r="Q108" s="35">
        <f t="shared" si="20"/>
        <v>5.9836580766813321E-2</v>
      </c>
      <c r="R108" s="35">
        <f t="shared" si="21"/>
        <v>0.28132899963885877</v>
      </c>
      <c r="S108" s="35"/>
      <c r="T108" s="35"/>
      <c r="U108" s="35">
        <f t="shared" si="22"/>
        <v>0</v>
      </c>
      <c r="V108" s="35">
        <f t="shared" si="23"/>
        <v>0</v>
      </c>
    </row>
    <row r="109" spans="1:22" x14ac:dyDescent="0.2">
      <c r="A109" s="632" t="s">
        <v>230</v>
      </c>
      <c r="B109" t="s">
        <v>902</v>
      </c>
      <c r="C109" t="s">
        <v>904</v>
      </c>
      <c r="D109" s="172">
        <v>57800</v>
      </c>
      <c r="E109" s="54">
        <v>0</v>
      </c>
      <c r="F109" s="54">
        <v>0</v>
      </c>
      <c r="G109" s="54">
        <v>111000</v>
      </c>
      <c r="H109" s="54">
        <v>27200</v>
      </c>
      <c r="I109" s="54">
        <v>0</v>
      </c>
      <c r="J109" s="54">
        <v>1650000</v>
      </c>
      <c r="K109" s="54">
        <v>56800</v>
      </c>
      <c r="L109" s="55">
        <v>34500</v>
      </c>
      <c r="M109" s="114">
        <f t="shared" si="16"/>
        <v>1937300</v>
      </c>
      <c r="N109" s="35">
        <f t="shared" si="17"/>
        <v>89.882826614360184</v>
      </c>
      <c r="O109" s="35">
        <f t="shared" si="18"/>
        <v>7.1336396015072525</v>
      </c>
      <c r="P109" s="35">
        <f t="shared" si="19"/>
        <v>2.9835337841325558</v>
      </c>
      <c r="Q109" s="35">
        <f t="shared" si="20"/>
        <v>7.2244874519037494E-2</v>
      </c>
      <c r="R109" s="35">
        <f t="shared" si="21"/>
        <v>0.19681620839363242</v>
      </c>
      <c r="S109" s="35"/>
      <c r="T109" s="35"/>
      <c r="U109" s="35">
        <f t="shared" si="22"/>
        <v>0</v>
      </c>
      <c r="V109" s="35">
        <f t="shared" si="23"/>
        <v>0</v>
      </c>
    </row>
    <row r="110" spans="1:22" x14ac:dyDescent="0.2">
      <c r="A110" s="632" t="s">
        <v>230</v>
      </c>
      <c r="B110" t="s">
        <v>902</v>
      </c>
      <c r="C110" t="s">
        <v>904</v>
      </c>
      <c r="D110" s="172">
        <v>78000</v>
      </c>
      <c r="E110" s="54">
        <v>13400</v>
      </c>
      <c r="F110" s="54">
        <v>0</v>
      </c>
      <c r="G110" s="54">
        <v>167000</v>
      </c>
      <c r="H110" s="54">
        <v>33000</v>
      </c>
      <c r="I110" s="54">
        <v>0</v>
      </c>
      <c r="J110" s="54">
        <v>2280000</v>
      </c>
      <c r="K110" s="54">
        <v>64300</v>
      </c>
      <c r="L110" s="55">
        <v>34700</v>
      </c>
      <c r="M110" s="114">
        <f t="shared" si="16"/>
        <v>2670400</v>
      </c>
      <c r="N110" s="35">
        <f t="shared" si="17"/>
        <v>89.087777112043142</v>
      </c>
      <c r="O110" s="35">
        <f t="shared" si="18"/>
        <v>7.4895146794487726</v>
      </c>
      <c r="P110" s="35">
        <f t="shared" si="19"/>
        <v>3.4227082085080887</v>
      </c>
      <c r="Q110" s="35">
        <f t="shared" si="20"/>
        <v>5.6200084068936527E-2</v>
      </c>
      <c r="R110" s="35">
        <f t="shared" si="21"/>
        <v>0.16500000000000001</v>
      </c>
      <c r="S110" s="35"/>
      <c r="T110" s="35"/>
      <c r="U110" s="35">
        <f t="shared" si="22"/>
        <v>0</v>
      </c>
      <c r="V110" s="35">
        <f t="shared" si="23"/>
        <v>0</v>
      </c>
    </row>
    <row r="111" spans="1:22" x14ac:dyDescent="0.2">
      <c r="A111" s="632" t="s">
        <v>230</v>
      </c>
      <c r="B111" t="s">
        <v>902</v>
      </c>
      <c r="C111" t="s">
        <v>904</v>
      </c>
      <c r="D111" s="172">
        <v>60300</v>
      </c>
      <c r="E111" s="54">
        <v>0</v>
      </c>
      <c r="F111" s="54">
        <v>0</v>
      </c>
      <c r="G111" s="54">
        <v>148000</v>
      </c>
      <c r="H111" s="54">
        <v>32400</v>
      </c>
      <c r="I111" s="54">
        <v>0</v>
      </c>
      <c r="J111" s="54">
        <v>1600000</v>
      </c>
      <c r="K111" s="54">
        <v>71600</v>
      </c>
      <c r="L111" s="55">
        <v>31300</v>
      </c>
      <c r="M111" s="114">
        <f t="shared" si="16"/>
        <v>1943600</v>
      </c>
      <c r="N111" s="35">
        <f t="shared" si="17"/>
        <v>87.615764560609179</v>
      </c>
      <c r="O111" s="35">
        <f t="shared" si="18"/>
        <v>9.2817452150648272</v>
      </c>
      <c r="P111" s="35">
        <f t="shared" si="19"/>
        <v>3.1024902243259929</v>
      </c>
      <c r="Q111" s="35">
        <f t="shared" si="20"/>
        <v>7.880674144107111E-2</v>
      </c>
      <c r="R111" s="35">
        <f t="shared" si="21"/>
        <v>0.17960088691796008</v>
      </c>
      <c r="S111" s="35"/>
      <c r="T111" s="35"/>
      <c r="U111" s="35">
        <f t="shared" si="22"/>
        <v>0</v>
      </c>
      <c r="V111" s="35">
        <f t="shared" si="23"/>
        <v>0</v>
      </c>
    </row>
    <row r="112" spans="1:22" x14ac:dyDescent="0.2">
      <c r="A112" s="632" t="s">
        <v>230</v>
      </c>
      <c r="B112" t="s">
        <v>902</v>
      </c>
      <c r="C112" t="s">
        <v>904</v>
      </c>
      <c r="D112" s="172">
        <v>13600</v>
      </c>
      <c r="E112" s="54">
        <v>0</v>
      </c>
      <c r="F112" s="54">
        <v>0</v>
      </c>
      <c r="G112" s="54">
        <v>34200</v>
      </c>
      <c r="H112" s="54">
        <v>0</v>
      </c>
      <c r="I112" s="54">
        <v>0</v>
      </c>
      <c r="J112" s="54">
        <v>442000</v>
      </c>
      <c r="K112" s="54">
        <v>14400</v>
      </c>
      <c r="L112" s="55">
        <v>0</v>
      </c>
      <c r="M112" s="114">
        <f t="shared" si="16"/>
        <v>504200</v>
      </c>
      <c r="N112" s="35">
        <f t="shared" si="17"/>
        <v>90.519635065450217</v>
      </c>
      <c r="O112" s="35">
        <f t="shared" si="18"/>
        <v>6.7830226100753661</v>
      </c>
      <c r="P112" s="35">
        <f t="shared" si="19"/>
        <v>2.6973423244744148</v>
      </c>
      <c r="Q112" s="35">
        <f t="shared" si="20"/>
        <v>3.1551270815074493E-2</v>
      </c>
      <c r="R112" s="35">
        <f t="shared" si="21"/>
        <v>0</v>
      </c>
      <c r="S112" s="35"/>
      <c r="T112" s="35"/>
      <c r="U112" s="35">
        <f t="shared" si="22"/>
        <v>0</v>
      </c>
      <c r="V112" s="35">
        <f t="shared" si="23"/>
        <v>0</v>
      </c>
    </row>
    <row r="113" spans="1:22" x14ac:dyDescent="0.2">
      <c r="A113" s="632" t="s">
        <v>230</v>
      </c>
      <c r="B113" t="s">
        <v>902</v>
      </c>
      <c r="C113" t="s">
        <v>904</v>
      </c>
      <c r="D113" s="172">
        <v>44000</v>
      </c>
      <c r="E113" s="54">
        <v>0</v>
      </c>
      <c r="F113" s="54">
        <v>0</v>
      </c>
      <c r="G113" s="54">
        <v>91000</v>
      </c>
      <c r="H113" s="54">
        <v>22400</v>
      </c>
      <c r="I113" s="54">
        <v>0</v>
      </c>
      <c r="J113" s="54">
        <v>1170000</v>
      </c>
      <c r="K113" s="54">
        <v>36100</v>
      </c>
      <c r="L113" s="55">
        <v>25000</v>
      </c>
      <c r="M113" s="114">
        <f t="shared" si="16"/>
        <v>1388500</v>
      </c>
      <c r="N113" s="35">
        <f t="shared" si="17"/>
        <v>88.664025927259644</v>
      </c>
      <c r="O113" s="35">
        <f t="shared" si="18"/>
        <v>8.1670867842996042</v>
      </c>
      <c r="P113" s="35">
        <f t="shared" si="19"/>
        <v>3.1688872884407635</v>
      </c>
      <c r="Q113" s="35">
        <f t="shared" si="20"/>
        <v>6.993745430915442E-2</v>
      </c>
      <c r="R113" s="35">
        <f t="shared" si="21"/>
        <v>0.19753086419753085</v>
      </c>
      <c r="S113" s="35"/>
      <c r="T113" s="35"/>
      <c r="U113" s="35">
        <f t="shared" si="22"/>
        <v>0</v>
      </c>
      <c r="V113" s="35">
        <f t="shared" si="23"/>
        <v>0</v>
      </c>
    </row>
    <row r="114" spans="1:22" x14ac:dyDescent="0.2">
      <c r="A114" s="632" t="s">
        <v>230</v>
      </c>
      <c r="B114" t="s">
        <v>902</v>
      </c>
      <c r="C114" t="s">
        <v>904</v>
      </c>
      <c r="D114" s="172">
        <v>46100</v>
      </c>
      <c r="E114" s="54">
        <v>0</v>
      </c>
      <c r="F114" s="54">
        <v>0</v>
      </c>
      <c r="G114" s="54">
        <v>106000</v>
      </c>
      <c r="H114" s="54">
        <v>25400</v>
      </c>
      <c r="I114" s="54">
        <v>0</v>
      </c>
      <c r="J114" s="54">
        <v>1200000</v>
      </c>
      <c r="K114" s="54">
        <v>41700</v>
      </c>
      <c r="L114" s="55">
        <v>30800</v>
      </c>
      <c r="M114" s="114">
        <f t="shared" si="16"/>
        <v>1450000</v>
      </c>
      <c r="N114" s="35">
        <f t="shared" si="17"/>
        <v>87.758620689655174</v>
      </c>
      <c r="O114" s="35">
        <f t="shared" si="18"/>
        <v>9.0620689655172413</v>
      </c>
      <c r="P114" s="35">
        <f t="shared" si="19"/>
        <v>3.1793103448275866</v>
      </c>
      <c r="Q114" s="35">
        <f t="shared" si="20"/>
        <v>8.1178781925343807E-2</v>
      </c>
      <c r="R114" s="35">
        <f t="shared" si="21"/>
        <v>0.19330289193302891</v>
      </c>
      <c r="S114" s="35"/>
      <c r="T114" s="35"/>
      <c r="U114" s="35">
        <f t="shared" si="22"/>
        <v>0</v>
      </c>
      <c r="V114" s="35">
        <f t="shared" si="23"/>
        <v>0</v>
      </c>
    </row>
    <row r="115" spans="1:22" x14ac:dyDescent="0.2">
      <c r="A115" s="632" t="s">
        <v>230</v>
      </c>
      <c r="B115" t="s">
        <v>902</v>
      </c>
      <c r="C115" t="s">
        <v>904</v>
      </c>
      <c r="D115" s="172">
        <v>70800</v>
      </c>
      <c r="E115" s="54">
        <v>0</v>
      </c>
      <c r="F115" s="54">
        <v>0</v>
      </c>
      <c r="G115" s="54">
        <v>171000</v>
      </c>
      <c r="H115" s="54">
        <v>39300</v>
      </c>
      <c r="I115" s="54">
        <v>0</v>
      </c>
      <c r="J115" s="54">
        <v>2240000</v>
      </c>
      <c r="K115" s="54">
        <v>54300</v>
      </c>
      <c r="L115" s="55">
        <v>29500</v>
      </c>
      <c r="M115" s="114">
        <f t="shared" si="16"/>
        <v>2604900</v>
      </c>
      <c r="N115" s="35">
        <f t="shared" si="17"/>
        <v>89.208798802257277</v>
      </c>
      <c r="O115" s="35">
        <f t="shared" si="18"/>
        <v>8.0732465737648287</v>
      </c>
      <c r="P115" s="35">
        <f t="shared" si="19"/>
        <v>2.7179546239778878</v>
      </c>
      <c r="Q115" s="35">
        <f t="shared" si="20"/>
        <v>4.8756347362079351E-2</v>
      </c>
      <c r="R115" s="35">
        <f t="shared" si="21"/>
        <v>0.18687589158345222</v>
      </c>
      <c r="S115" s="35"/>
      <c r="T115" s="35"/>
      <c r="U115" s="35">
        <f t="shared" si="22"/>
        <v>0</v>
      </c>
      <c r="V115" s="35">
        <f t="shared" si="23"/>
        <v>0</v>
      </c>
    </row>
    <row r="116" spans="1:22" x14ac:dyDescent="0.2">
      <c r="A116" s="632" t="s">
        <v>230</v>
      </c>
      <c r="B116" t="s">
        <v>902</v>
      </c>
      <c r="C116" t="s">
        <v>904</v>
      </c>
      <c r="D116" s="172">
        <v>154000</v>
      </c>
      <c r="E116" s="54">
        <v>31200</v>
      </c>
      <c r="F116" s="54">
        <v>0</v>
      </c>
      <c r="G116" s="54">
        <v>270000</v>
      </c>
      <c r="H116" s="54">
        <v>87000</v>
      </c>
      <c r="I116" s="54">
        <v>28500</v>
      </c>
      <c r="J116" s="54">
        <v>3500000</v>
      </c>
      <c r="K116" s="54">
        <v>147000</v>
      </c>
      <c r="L116" s="55">
        <v>133000</v>
      </c>
      <c r="M116" s="114">
        <f t="shared" si="16"/>
        <v>4350700</v>
      </c>
      <c r="N116" s="35">
        <f t="shared" si="17"/>
        <v>86.882570620819649</v>
      </c>
      <c r="O116" s="35">
        <f t="shared" si="18"/>
        <v>8.8606431149010501</v>
      </c>
      <c r="P116" s="35">
        <f t="shared" si="19"/>
        <v>4.2567862642793113</v>
      </c>
      <c r="Q116" s="35">
        <f t="shared" si="20"/>
        <v>0.10925925925925926</v>
      </c>
      <c r="R116" s="35">
        <f t="shared" si="21"/>
        <v>0.37354085603112841</v>
      </c>
      <c r="S116" s="35"/>
      <c r="T116" s="35"/>
      <c r="U116" s="35">
        <f t="shared" si="22"/>
        <v>0</v>
      </c>
      <c r="V116" s="35">
        <f t="shared" si="23"/>
        <v>0</v>
      </c>
    </row>
    <row r="117" spans="1:22" x14ac:dyDescent="0.2">
      <c r="A117" s="632" t="s">
        <v>230</v>
      </c>
      <c r="B117" t="s">
        <v>902</v>
      </c>
      <c r="C117" t="s">
        <v>904</v>
      </c>
      <c r="D117" s="172">
        <v>59300</v>
      </c>
      <c r="E117" s="54">
        <v>0</v>
      </c>
      <c r="F117" s="54">
        <v>0</v>
      </c>
      <c r="G117" s="54">
        <v>110000</v>
      </c>
      <c r="H117" s="54">
        <v>22200</v>
      </c>
      <c r="I117" s="54">
        <v>0</v>
      </c>
      <c r="J117" s="54">
        <v>1880000</v>
      </c>
      <c r="K117" s="54">
        <v>61000</v>
      </c>
      <c r="L117" s="55">
        <v>33000</v>
      </c>
      <c r="M117" s="114">
        <f t="shared" si="16"/>
        <v>2165500</v>
      </c>
      <c r="N117" s="35">
        <f t="shared" si="17"/>
        <v>91.156776725929348</v>
      </c>
      <c r="O117" s="35">
        <f t="shared" si="18"/>
        <v>6.1048256753636574</v>
      </c>
      <c r="P117" s="35">
        <f t="shared" si="19"/>
        <v>2.7383975987069964</v>
      </c>
      <c r="Q117" s="35">
        <f t="shared" si="20"/>
        <v>6.4336372847011145E-2</v>
      </c>
      <c r="R117" s="35">
        <f t="shared" si="21"/>
        <v>0.16792738275340394</v>
      </c>
      <c r="S117" s="35"/>
      <c r="T117" s="35"/>
      <c r="U117" s="35">
        <f t="shared" si="22"/>
        <v>0</v>
      </c>
      <c r="V117" s="35">
        <f t="shared" si="23"/>
        <v>0</v>
      </c>
    </row>
    <row r="118" spans="1:22" x14ac:dyDescent="0.2">
      <c r="A118" s="632" t="s">
        <v>230</v>
      </c>
      <c r="B118" t="s">
        <v>902</v>
      </c>
      <c r="C118" t="s">
        <v>904</v>
      </c>
      <c r="D118" s="172">
        <v>42600</v>
      </c>
      <c r="E118" s="54">
        <v>0</v>
      </c>
      <c r="F118" s="54">
        <v>0</v>
      </c>
      <c r="G118" s="54">
        <v>90000</v>
      </c>
      <c r="H118" s="54">
        <v>23800</v>
      </c>
      <c r="I118" s="54">
        <v>11600</v>
      </c>
      <c r="J118" s="54">
        <v>1130000</v>
      </c>
      <c r="K118" s="54">
        <v>38100</v>
      </c>
      <c r="L118" s="55">
        <v>21000</v>
      </c>
      <c r="M118" s="114">
        <f t="shared" si="16"/>
        <v>1357100</v>
      </c>
      <c r="N118" s="35">
        <f t="shared" si="17"/>
        <v>87.620661705106471</v>
      </c>
      <c r="O118" s="35">
        <f t="shared" si="18"/>
        <v>9.2402917986883804</v>
      </c>
      <c r="P118" s="35">
        <f t="shared" si="19"/>
        <v>3.1390464962051432</v>
      </c>
      <c r="Q118" s="35">
        <f t="shared" si="20"/>
        <v>6.7361870322092343E-2</v>
      </c>
      <c r="R118" s="35">
        <f t="shared" si="21"/>
        <v>0.37480063795853269</v>
      </c>
      <c r="S118" s="35"/>
      <c r="T118" s="35"/>
      <c r="U118" s="35">
        <f t="shared" si="22"/>
        <v>0</v>
      </c>
      <c r="V118" s="35">
        <f t="shared" si="23"/>
        <v>0</v>
      </c>
    </row>
    <row r="119" spans="1:22" x14ac:dyDescent="0.2">
      <c r="A119" s="632" t="s">
        <v>230</v>
      </c>
      <c r="B119" t="s">
        <v>902</v>
      </c>
      <c r="C119" t="s">
        <v>904</v>
      </c>
      <c r="D119" s="172">
        <v>55200</v>
      </c>
      <c r="E119" s="54">
        <v>0</v>
      </c>
      <c r="F119" s="54">
        <v>0</v>
      </c>
      <c r="G119" s="54">
        <v>109000</v>
      </c>
      <c r="H119" s="54">
        <v>27800</v>
      </c>
      <c r="I119" s="54">
        <v>11500</v>
      </c>
      <c r="J119" s="54">
        <v>1430000</v>
      </c>
      <c r="K119" s="54">
        <v>50200</v>
      </c>
      <c r="L119" s="55">
        <v>27800</v>
      </c>
      <c r="M119" s="114">
        <f t="shared" si="16"/>
        <v>1711500</v>
      </c>
      <c r="N119" s="35">
        <f t="shared" si="17"/>
        <v>88.10984516505988</v>
      </c>
      <c r="O119" s="35">
        <f t="shared" si="18"/>
        <v>8.664913818288051</v>
      </c>
      <c r="P119" s="35">
        <f t="shared" si="19"/>
        <v>3.2252410166520598</v>
      </c>
      <c r="Q119" s="35">
        <f t="shared" si="20"/>
        <v>7.0159151193633959E-2</v>
      </c>
      <c r="R119" s="35">
        <f t="shared" si="21"/>
        <v>0.34254888739042483</v>
      </c>
      <c r="S119" s="35"/>
      <c r="T119" s="35"/>
      <c r="U119" s="35">
        <f t="shared" si="22"/>
        <v>0</v>
      </c>
      <c r="V119" s="35">
        <f t="shared" si="23"/>
        <v>0</v>
      </c>
    </row>
    <row r="120" spans="1:22" x14ac:dyDescent="0.2">
      <c r="A120" s="632" t="s">
        <v>230</v>
      </c>
      <c r="B120" t="s">
        <v>902</v>
      </c>
      <c r="C120" t="s">
        <v>904</v>
      </c>
      <c r="D120" s="172">
        <v>99400</v>
      </c>
      <c r="E120" s="54">
        <v>20200</v>
      </c>
      <c r="F120" s="54">
        <v>0</v>
      </c>
      <c r="G120" s="54">
        <v>138000</v>
      </c>
      <c r="H120" s="54">
        <v>51800</v>
      </c>
      <c r="I120" s="54">
        <v>20800</v>
      </c>
      <c r="J120" s="54">
        <v>1520000</v>
      </c>
      <c r="K120" s="54">
        <v>58500</v>
      </c>
      <c r="L120" s="55">
        <v>30300</v>
      </c>
      <c r="M120" s="114">
        <f t="shared" si="16"/>
        <v>1939000</v>
      </c>
      <c r="N120" s="35">
        <f t="shared" si="17"/>
        <v>82.970603403816398</v>
      </c>
      <c r="O120" s="35">
        <f t="shared" si="18"/>
        <v>10.861268695203712</v>
      </c>
      <c r="P120" s="35">
        <f t="shared" si="19"/>
        <v>6.1681279009798873</v>
      </c>
      <c r="Q120" s="35">
        <f t="shared" si="20"/>
        <v>7.4030333167578316E-2</v>
      </c>
      <c r="R120" s="35">
        <f t="shared" si="21"/>
        <v>0.44349477682811017</v>
      </c>
      <c r="S120" s="35"/>
      <c r="T120" s="35"/>
      <c r="U120" s="35">
        <f t="shared" si="22"/>
        <v>0</v>
      </c>
      <c r="V120" s="35">
        <f t="shared" si="23"/>
        <v>0</v>
      </c>
    </row>
    <row r="121" spans="1:22" x14ac:dyDescent="0.2">
      <c r="A121" s="632" t="s">
        <v>230</v>
      </c>
      <c r="B121" t="s">
        <v>902</v>
      </c>
      <c r="C121" t="s">
        <v>904</v>
      </c>
      <c r="D121" s="172">
        <v>97600</v>
      </c>
      <c r="E121" s="54">
        <v>0</v>
      </c>
      <c r="F121" s="54">
        <v>0</v>
      </c>
      <c r="G121" s="54">
        <v>261000</v>
      </c>
      <c r="H121" s="54">
        <v>55300</v>
      </c>
      <c r="I121" s="54">
        <v>0</v>
      </c>
      <c r="J121" s="54">
        <v>2300000</v>
      </c>
      <c r="K121" s="54">
        <v>94900</v>
      </c>
      <c r="L121" s="55">
        <v>59500</v>
      </c>
      <c r="M121" s="114">
        <f t="shared" si="16"/>
        <v>2868300</v>
      </c>
      <c r="N121" s="35">
        <f t="shared" si="17"/>
        <v>85.569849736777883</v>
      </c>
      <c r="O121" s="35">
        <f t="shared" si="18"/>
        <v>11.02743785517554</v>
      </c>
      <c r="P121" s="35">
        <f t="shared" si="19"/>
        <v>3.402712408046578</v>
      </c>
      <c r="Q121" s="35">
        <f t="shared" si="20"/>
        <v>8.7149608865710562E-2</v>
      </c>
      <c r="R121" s="35">
        <f t="shared" si="21"/>
        <v>0.17483401833702181</v>
      </c>
      <c r="S121" s="35"/>
      <c r="T121" s="35"/>
      <c r="U121" s="35">
        <f t="shared" si="22"/>
        <v>0</v>
      </c>
      <c r="V121" s="35">
        <f t="shared" si="23"/>
        <v>0</v>
      </c>
    </row>
    <row r="122" spans="1:22" x14ac:dyDescent="0.2">
      <c r="A122" s="632" t="s">
        <v>230</v>
      </c>
      <c r="B122" t="s">
        <v>902</v>
      </c>
      <c r="C122" t="s">
        <v>904</v>
      </c>
      <c r="D122" s="172">
        <v>131000</v>
      </c>
      <c r="E122" s="54">
        <v>0</v>
      </c>
      <c r="F122" s="54">
        <v>0</v>
      </c>
      <c r="G122" s="54">
        <v>248000</v>
      </c>
      <c r="H122" s="54">
        <v>44900</v>
      </c>
      <c r="I122" s="54">
        <v>12100</v>
      </c>
      <c r="J122" s="54">
        <v>2520000</v>
      </c>
      <c r="K122" s="54">
        <v>110000</v>
      </c>
      <c r="L122" s="55">
        <v>62400</v>
      </c>
      <c r="M122" s="114">
        <f t="shared" si="16"/>
        <v>3128400</v>
      </c>
      <c r="N122" s="35">
        <f t="shared" si="17"/>
        <v>86.063163278353144</v>
      </c>
      <c r="O122" s="35">
        <f t="shared" si="18"/>
        <v>9.7493926607850661</v>
      </c>
      <c r="P122" s="35">
        <f t="shared" si="19"/>
        <v>4.1874440608617824</v>
      </c>
      <c r="Q122" s="35">
        <f t="shared" si="20"/>
        <v>8.7208438567820526E-2</v>
      </c>
      <c r="R122" s="35">
        <f t="shared" si="21"/>
        <v>0.22655737704918033</v>
      </c>
      <c r="S122" s="35"/>
      <c r="T122" s="35"/>
      <c r="U122" s="35">
        <f t="shared" si="22"/>
        <v>0</v>
      </c>
      <c r="V122" s="35">
        <f t="shared" si="23"/>
        <v>0</v>
      </c>
    </row>
    <row r="123" spans="1:22" x14ac:dyDescent="0.2">
      <c r="A123" s="632" t="s">
        <v>230</v>
      </c>
      <c r="B123" t="s">
        <v>902</v>
      </c>
      <c r="C123" t="s">
        <v>904</v>
      </c>
      <c r="D123" s="172">
        <v>420000</v>
      </c>
      <c r="E123" s="54">
        <v>0</v>
      </c>
      <c r="F123" s="54">
        <v>0</v>
      </c>
      <c r="G123" s="54">
        <v>982000</v>
      </c>
      <c r="H123" s="54">
        <v>190000</v>
      </c>
      <c r="I123" s="54">
        <v>55800</v>
      </c>
      <c r="J123" s="54">
        <v>8880000</v>
      </c>
      <c r="K123" s="54">
        <v>434000</v>
      </c>
      <c r="L123" s="55">
        <v>209000</v>
      </c>
      <c r="M123" s="114">
        <f t="shared" si="16"/>
        <v>11170800</v>
      </c>
      <c r="N123" s="35">
        <f t="shared" si="17"/>
        <v>85.249042145593862</v>
      </c>
      <c r="O123" s="35">
        <f t="shared" si="18"/>
        <v>10.991155512586385</v>
      </c>
      <c r="P123" s="35">
        <f t="shared" si="19"/>
        <v>3.7598023418197442</v>
      </c>
      <c r="Q123" s="35">
        <f t="shared" si="20"/>
        <v>8.9467604746403445E-2</v>
      </c>
      <c r="R123" s="35">
        <f t="shared" si="21"/>
        <v>0.24564261280338817</v>
      </c>
      <c r="S123" s="35"/>
      <c r="T123" s="35"/>
      <c r="U123" s="35">
        <f t="shared" si="22"/>
        <v>0</v>
      </c>
      <c r="V123" s="35">
        <f t="shared" si="23"/>
        <v>0</v>
      </c>
    </row>
    <row r="124" spans="1:22" x14ac:dyDescent="0.2">
      <c r="A124" s="632" t="s">
        <v>230</v>
      </c>
      <c r="B124" t="s">
        <v>902</v>
      </c>
      <c r="C124" t="s">
        <v>904</v>
      </c>
      <c r="D124" s="172">
        <v>57900</v>
      </c>
      <c r="E124" s="54">
        <v>0</v>
      </c>
      <c r="F124" s="54">
        <v>0</v>
      </c>
      <c r="G124" s="54">
        <v>137000</v>
      </c>
      <c r="H124" s="54">
        <v>29400</v>
      </c>
      <c r="I124" s="54">
        <v>0</v>
      </c>
      <c r="J124" s="54">
        <v>1570000</v>
      </c>
      <c r="K124" s="54">
        <v>58900</v>
      </c>
      <c r="L124" s="55">
        <v>29200</v>
      </c>
      <c r="M124" s="114">
        <f t="shared" si="16"/>
        <v>1882400</v>
      </c>
      <c r="N124" s="35">
        <f t="shared" si="17"/>
        <v>88.084360390990227</v>
      </c>
      <c r="O124" s="35">
        <f t="shared" si="18"/>
        <v>8.8397790055248606</v>
      </c>
      <c r="P124" s="35">
        <f t="shared" si="19"/>
        <v>3.0758606034849127</v>
      </c>
      <c r="Q124" s="35">
        <f t="shared" si="20"/>
        <v>7.074362221820156E-2</v>
      </c>
      <c r="R124" s="35">
        <f t="shared" si="21"/>
        <v>0.17668269230769232</v>
      </c>
      <c r="S124" s="35"/>
      <c r="T124" s="35"/>
      <c r="U124" s="35">
        <f t="shared" si="22"/>
        <v>0</v>
      </c>
      <c r="V124" s="35">
        <f t="shared" si="23"/>
        <v>0</v>
      </c>
    </row>
    <row r="125" spans="1:22" x14ac:dyDescent="0.2">
      <c r="A125" s="632" t="s">
        <v>230</v>
      </c>
      <c r="B125" t="s">
        <v>902</v>
      </c>
      <c r="C125" t="s">
        <v>904</v>
      </c>
      <c r="D125" s="172">
        <v>39600</v>
      </c>
      <c r="E125" s="54">
        <v>0</v>
      </c>
      <c r="F125" s="54">
        <v>0</v>
      </c>
      <c r="G125" s="54">
        <v>74500</v>
      </c>
      <c r="H125" s="54">
        <v>13700</v>
      </c>
      <c r="I125" s="54">
        <v>0</v>
      </c>
      <c r="J125" s="54">
        <v>1090000</v>
      </c>
      <c r="K125" s="54">
        <v>31500</v>
      </c>
      <c r="L125" s="55">
        <v>15100</v>
      </c>
      <c r="M125" s="114">
        <f t="shared" si="16"/>
        <v>1264400</v>
      </c>
      <c r="N125" s="35">
        <f t="shared" si="17"/>
        <v>89.892439101550153</v>
      </c>
      <c r="O125" s="35">
        <f t="shared" si="18"/>
        <v>6.9756406200569447</v>
      </c>
      <c r="P125" s="35">
        <f t="shared" si="19"/>
        <v>3.1319202783929132</v>
      </c>
      <c r="Q125" s="35">
        <f t="shared" si="20"/>
        <v>5.4284708780573641E-2</v>
      </c>
      <c r="R125" s="35">
        <f t="shared" si="21"/>
        <v>0.15532879818594103</v>
      </c>
      <c r="S125" s="35"/>
      <c r="T125" s="35"/>
      <c r="U125" s="35">
        <f t="shared" si="22"/>
        <v>0</v>
      </c>
      <c r="V125" s="35">
        <f t="shared" si="23"/>
        <v>0</v>
      </c>
    </row>
    <row r="126" spans="1:22" x14ac:dyDescent="0.2">
      <c r="A126" s="632" t="s">
        <v>230</v>
      </c>
      <c r="B126" t="s">
        <v>902</v>
      </c>
      <c r="C126" t="s">
        <v>904</v>
      </c>
      <c r="D126" s="172">
        <v>71700</v>
      </c>
      <c r="E126" s="54">
        <v>0</v>
      </c>
      <c r="F126" s="54">
        <v>0</v>
      </c>
      <c r="G126" s="54">
        <v>162000</v>
      </c>
      <c r="H126" s="54">
        <v>36000</v>
      </c>
      <c r="I126" s="54">
        <v>11600</v>
      </c>
      <c r="J126" s="54">
        <v>2680000</v>
      </c>
      <c r="K126" s="54">
        <v>66800</v>
      </c>
      <c r="L126" s="55">
        <v>38500</v>
      </c>
      <c r="M126" s="114">
        <f t="shared" si="16"/>
        <v>3066600</v>
      </c>
      <c r="N126" s="35">
        <f t="shared" si="17"/>
        <v>90.82697449944564</v>
      </c>
      <c r="O126" s="35">
        <f t="shared" si="18"/>
        <v>6.8349311941563951</v>
      </c>
      <c r="P126" s="35">
        <f t="shared" si="19"/>
        <v>2.3380943063979651</v>
      </c>
      <c r="Q126" s="35">
        <f t="shared" si="20"/>
        <v>5.1628190859153412E-2</v>
      </c>
      <c r="R126" s="35">
        <f t="shared" si="21"/>
        <v>0.28244274809160308</v>
      </c>
      <c r="S126" s="35"/>
      <c r="T126" s="35"/>
      <c r="U126" s="35">
        <f t="shared" si="22"/>
        <v>0</v>
      </c>
      <c r="V126" s="35">
        <f t="shared" si="23"/>
        <v>0</v>
      </c>
    </row>
    <row r="127" spans="1:22" x14ac:dyDescent="0.2">
      <c r="A127" s="632" t="s">
        <v>230</v>
      </c>
      <c r="B127" t="s">
        <v>902</v>
      </c>
      <c r="C127" t="s">
        <v>904</v>
      </c>
      <c r="D127" s="172">
        <v>537000</v>
      </c>
      <c r="E127" s="54">
        <v>52100</v>
      </c>
      <c r="F127" s="54">
        <v>0</v>
      </c>
      <c r="G127" s="54">
        <v>1110000</v>
      </c>
      <c r="H127" s="54">
        <v>232000</v>
      </c>
      <c r="I127" s="54">
        <v>53800</v>
      </c>
      <c r="J127" s="54">
        <v>13300000</v>
      </c>
      <c r="K127" s="54">
        <v>604000</v>
      </c>
      <c r="L127" s="55">
        <v>305000</v>
      </c>
      <c r="M127" s="114">
        <f t="shared" si="16"/>
        <v>16193900</v>
      </c>
      <c r="N127" s="35">
        <f t="shared" si="17"/>
        <v>87.742915542272087</v>
      </c>
      <c r="O127" s="35">
        <f t="shared" si="18"/>
        <v>8.619294919691983</v>
      </c>
      <c r="P127" s="35">
        <f t="shared" si="19"/>
        <v>3.6377895380359271</v>
      </c>
      <c r="Q127" s="35">
        <f t="shared" si="20"/>
        <v>8.5438806390315994E-2</v>
      </c>
      <c r="R127" s="35">
        <f t="shared" si="21"/>
        <v>0.24330133256913597</v>
      </c>
      <c r="S127" s="35"/>
      <c r="T127" s="35"/>
      <c r="U127" s="35">
        <f t="shared" si="22"/>
        <v>0</v>
      </c>
      <c r="V127" s="35">
        <f t="shared" si="23"/>
        <v>0</v>
      </c>
    </row>
    <row r="128" spans="1:22" x14ac:dyDescent="0.2">
      <c r="A128" s="632" t="s">
        <v>230</v>
      </c>
      <c r="B128" t="s">
        <v>902</v>
      </c>
      <c r="C128" t="s">
        <v>904</v>
      </c>
      <c r="D128" s="172">
        <v>85600</v>
      </c>
      <c r="E128" s="54">
        <v>0</v>
      </c>
      <c r="F128" s="54">
        <v>12400</v>
      </c>
      <c r="G128" s="54">
        <v>194000</v>
      </c>
      <c r="H128" s="54">
        <v>36000</v>
      </c>
      <c r="I128" s="54">
        <v>0</v>
      </c>
      <c r="J128" s="54">
        <v>2360000</v>
      </c>
      <c r="K128" s="54">
        <v>81900</v>
      </c>
      <c r="L128" s="55">
        <v>42400</v>
      </c>
      <c r="M128" s="114">
        <f t="shared" si="16"/>
        <v>2812300</v>
      </c>
      <c r="N128" s="35">
        <f t="shared" si="17"/>
        <v>88.336948405219928</v>
      </c>
      <c r="O128" s="35">
        <f t="shared" si="18"/>
        <v>8.1783593499982228</v>
      </c>
      <c r="P128" s="35">
        <f t="shared" si="19"/>
        <v>3.4846922447818516</v>
      </c>
      <c r="Q128" s="35">
        <f t="shared" si="20"/>
        <v>6.710139677172644E-2</v>
      </c>
      <c r="R128" s="35">
        <f t="shared" si="21"/>
        <v>0.15652173913043479</v>
      </c>
      <c r="S128" s="35"/>
      <c r="T128" s="35"/>
      <c r="U128" s="35">
        <f t="shared" si="22"/>
        <v>0</v>
      </c>
      <c r="V128" s="35">
        <f t="shared" si="23"/>
        <v>0</v>
      </c>
    </row>
    <row r="129" spans="1:22" x14ac:dyDescent="0.2">
      <c r="A129" s="632" t="s">
        <v>230</v>
      </c>
      <c r="B129" t="s">
        <v>902</v>
      </c>
      <c r="C129" t="s">
        <v>904</v>
      </c>
      <c r="D129" s="172">
        <v>542000</v>
      </c>
      <c r="E129" s="54">
        <v>0</v>
      </c>
      <c r="F129" s="54">
        <v>0</v>
      </c>
      <c r="G129" s="54">
        <v>1390000</v>
      </c>
      <c r="H129" s="54">
        <v>255000</v>
      </c>
      <c r="I129" s="54">
        <v>74400</v>
      </c>
      <c r="J129" s="54">
        <v>5310000</v>
      </c>
      <c r="K129" s="54">
        <v>472000</v>
      </c>
      <c r="L129" s="55">
        <v>192000</v>
      </c>
      <c r="M129" s="114">
        <f t="shared" si="16"/>
        <v>8235400</v>
      </c>
      <c r="N129" s="35">
        <f t="shared" si="17"/>
        <v>72.540495907909758</v>
      </c>
      <c r="O129" s="35">
        <f t="shared" si="18"/>
        <v>20.878160137941084</v>
      </c>
      <c r="P129" s="35">
        <f t="shared" si="19"/>
        <v>6.5813439541491601</v>
      </c>
      <c r="Q129" s="35">
        <f t="shared" si="20"/>
        <v>0.14328757951121526</v>
      </c>
      <c r="R129" s="35">
        <f t="shared" si="21"/>
        <v>0.23484936605792719</v>
      </c>
      <c r="S129" s="35"/>
      <c r="T129" s="35"/>
      <c r="U129" s="35">
        <f t="shared" si="22"/>
        <v>0</v>
      </c>
      <c r="V129" s="35">
        <f t="shared" si="23"/>
        <v>0</v>
      </c>
    </row>
    <row r="130" spans="1:22" x14ac:dyDescent="0.2">
      <c r="A130" s="632" t="s">
        <v>230</v>
      </c>
      <c r="B130" t="s">
        <v>902</v>
      </c>
      <c r="C130" t="s">
        <v>904</v>
      </c>
      <c r="D130" s="172">
        <v>46000</v>
      </c>
      <c r="E130" s="54">
        <v>0</v>
      </c>
      <c r="F130" s="54">
        <v>0</v>
      </c>
      <c r="G130" s="54">
        <v>136000</v>
      </c>
      <c r="H130" s="54">
        <v>16400</v>
      </c>
      <c r="I130" s="54">
        <v>0</v>
      </c>
      <c r="J130" s="54">
        <v>1600000</v>
      </c>
      <c r="K130" s="54">
        <v>56400</v>
      </c>
      <c r="L130" s="55">
        <v>23700</v>
      </c>
      <c r="M130" s="114">
        <f t="shared" si="16"/>
        <v>1878500</v>
      </c>
      <c r="N130" s="35">
        <f t="shared" si="17"/>
        <v>89.438381687516639</v>
      </c>
      <c r="O130" s="35">
        <f t="shared" si="18"/>
        <v>8.1128560021293588</v>
      </c>
      <c r="P130" s="35">
        <f t="shared" si="19"/>
        <v>2.4487623103540059</v>
      </c>
      <c r="Q130" s="35">
        <f t="shared" si="20"/>
        <v>6.1782036783524792E-2</v>
      </c>
      <c r="R130" s="35">
        <f t="shared" si="21"/>
        <v>0.10761154855643044</v>
      </c>
      <c r="S130" s="35"/>
      <c r="T130" s="35"/>
      <c r="U130" s="35">
        <f t="shared" si="22"/>
        <v>0</v>
      </c>
      <c r="V130" s="35">
        <f t="shared" si="23"/>
        <v>0</v>
      </c>
    </row>
    <row r="131" spans="1:22" x14ac:dyDescent="0.2">
      <c r="A131" s="632" t="s">
        <v>230</v>
      </c>
      <c r="B131" t="s">
        <v>902</v>
      </c>
      <c r="C131" t="s">
        <v>904</v>
      </c>
      <c r="D131" s="172">
        <v>36100</v>
      </c>
      <c r="E131" s="54">
        <v>0</v>
      </c>
      <c r="F131" s="54">
        <v>0</v>
      </c>
      <c r="G131" s="54">
        <v>92600</v>
      </c>
      <c r="H131" s="54">
        <v>28100</v>
      </c>
      <c r="I131" s="54">
        <v>11300</v>
      </c>
      <c r="J131" s="54">
        <v>1570000</v>
      </c>
      <c r="K131" s="54">
        <v>45500</v>
      </c>
      <c r="L131" s="55">
        <v>25400</v>
      </c>
      <c r="M131" s="114">
        <f t="shared" ref="M131:M194" si="24">SUM(D131:L131)</f>
        <v>1809000</v>
      </c>
      <c r="N131" s="35">
        <f t="shared" ref="N131:N194" si="25">SUM(J131:L131)/$M131*100</f>
        <v>90.707573244886675</v>
      </c>
      <c r="O131" s="35">
        <f t="shared" ref="O131:O194" si="26">SUM(G131:I131)/$M131*100</f>
        <v>7.2968490878938645</v>
      </c>
      <c r="P131" s="35">
        <f t="shared" ref="P131:P194" si="27">SUM(D131:F131)/$M131*100</f>
        <v>1.9955776672194583</v>
      </c>
      <c r="Q131" s="35">
        <f t="shared" ref="Q131:Q194" si="28">(K131+(2*L131))/SUM(J131:L131)</f>
        <v>5.868730574684624E-2</v>
      </c>
      <c r="R131" s="35">
        <f t="shared" ref="R131:R194" si="29">(H131+(2*I131))/SUM(G131:I131)</f>
        <v>0.38409090909090909</v>
      </c>
      <c r="S131" s="35"/>
      <c r="T131" s="35"/>
      <c r="U131" s="35">
        <f t="shared" ref="U131:U194" si="30">SUM(Y131,AA131,AC131)/SUM(G131:I131)</f>
        <v>0</v>
      </c>
      <c r="V131" s="35">
        <f t="shared" ref="V131:V194" si="31">SUM(AE131,AG131,AI131)/SUM(D131:F131)</f>
        <v>0</v>
      </c>
    </row>
    <row r="132" spans="1:22" x14ac:dyDescent="0.2">
      <c r="A132" s="632" t="s">
        <v>230</v>
      </c>
      <c r="B132" t="s">
        <v>902</v>
      </c>
      <c r="C132" t="s">
        <v>904</v>
      </c>
      <c r="D132" s="172">
        <v>95400</v>
      </c>
      <c r="E132" s="54">
        <v>0</v>
      </c>
      <c r="F132" s="54">
        <v>0</v>
      </c>
      <c r="G132" s="54">
        <v>177000</v>
      </c>
      <c r="H132" s="54">
        <v>41200</v>
      </c>
      <c r="I132" s="54">
        <v>0</v>
      </c>
      <c r="J132" s="54">
        <v>1960000</v>
      </c>
      <c r="K132" s="54">
        <v>52200</v>
      </c>
      <c r="L132" s="55">
        <v>37300</v>
      </c>
      <c r="M132" s="114">
        <f t="shared" si="24"/>
        <v>2363100</v>
      </c>
      <c r="N132" s="35">
        <f t="shared" si="25"/>
        <v>86.729296263382849</v>
      </c>
      <c r="O132" s="35">
        <f t="shared" si="26"/>
        <v>9.2336337861283901</v>
      </c>
      <c r="P132" s="35">
        <f t="shared" si="27"/>
        <v>4.0370699504887648</v>
      </c>
      <c r="Q132" s="35">
        <f t="shared" si="28"/>
        <v>6.1868748475237864E-2</v>
      </c>
      <c r="R132" s="35">
        <f t="shared" si="29"/>
        <v>0.18881759853345553</v>
      </c>
      <c r="S132" s="35"/>
      <c r="T132" s="35"/>
      <c r="U132" s="35">
        <f t="shared" si="30"/>
        <v>0</v>
      </c>
      <c r="V132" s="35">
        <f t="shared" si="31"/>
        <v>0</v>
      </c>
    </row>
    <row r="133" spans="1:22" x14ac:dyDescent="0.2">
      <c r="A133" s="632" t="s">
        <v>230</v>
      </c>
      <c r="B133" t="s">
        <v>902</v>
      </c>
      <c r="C133" t="s">
        <v>904</v>
      </c>
      <c r="D133" s="172">
        <v>109000</v>
      </c>
      <c r="E133" s="54">
        <v>0</v>
      </c>
      <c r="F133" s="54">
        <v>0</v>
      </c>
      <c r="G133" s="54">
        <v>256000</v>
      </c>
      <c r="H133" s="54">
        <v>63200</v>
      </c>
      <c r="I133" s="54">
        <v>11500</v>
      </c>
      <c r="J133" s="54">
        <v>2630000</v>
      </c>
      <c r="K133" s="54">
        <v>109000</v>
      </c>
      <c r="L133" s="55">
        <v>60900</v>
      </c>
      <c r="M133" s="114">
        <f t="shared" si="24"/>
        <v>3239600</v>
      </c>
      <c r="N133" s="35">
        <f t="shared" si="25"/>
        <v>86.427336708235586</v>
      </c>
      <c r="O133" s="35">
        <f t="shared" si="26"/>
        <v>10.208050376589703</v>
      </c>
      <c r="P133" s="35">
        <f t="shared" si="27"/>
        <v>3.3646129151747131</v>
      </c>
      <c r="Q133" s="35">
        <f t="shared" si="28"/>
        <v>8.2431515411264686E-2</v>
      </c>
      <c r="R133" s="35">
        <f t="shared" si="29"/>
        <v>0.26065920774115514</v>
      </c>
      <c r="S133" s="35"/>
      <c r="T133" s="35"/>
      <c r="U133" s="35">
        <f t="shared" si="30"/>
        <v>0</v>
      </c>
      <c r="V133" s="35">
        <f t="shared" si="31"/>
        <v>0</v>
      </c>
    </row>
    <row r="134" spans="1:22" x14ac:dyDescent="0.2">
      <c r="A134" s="632" t="s">
        <v>230</v>
      </c>
      <c r="B134" t="s">
        <v>902</v>
      </c>
      <c r="C134" t="s">
        <v>904</v>
      </c>
      <c r="D134" s="172">
        <v>17000</v>
      </c>
      <c r="E134" s="54">
        <v>0</v>
      </c>
      <c r="F134" s="54">
        <v>0</v>
      </c>
      <c r="G134" s="54">
        <v>64200</v>
      </c>
      <c r="H134" s="54">
        <v>15800</v>
      </c>
      <c r="I134" s="54">
        <v>0</v>
      </c>
      <c r="J134" s="54">
        <v>770000</v>
      </c>
      <c r="K134" s="54">
        <v>25500</v>
      </c>
      <c r="L134" s="55">
        <v>14300</v>
      </c>
      <c r="M134" s="114">
        <f t="shared" si="24"/>
        <v>906800</v>
      </c>
      <c r="N134" s="35">
        <f t="shared" si="25"/>
        <v>89.303043670048524</v>
      </c>
      <c r="O134" s="35">
        <f t="shared" si="26"/>
        <v>8.8222320247022488</v>
      </c>
      <c r="P134" s="35">
        <f t="shared" si="27"/>
        <v>1.8747243052492282</v>
      </c>
      <c r="Q134" s="35">
        <f t="shared" si="28"/>
        <v>6.6806618918251418E-2</v>
      </c>
      <c r="R134" s="35">
        <f t="shared" si="29"/>
        <v>0.19750000000000001</v>
      </c>
      <c r="S134" s="35"/>
      <c r="T134" s="35"/>
      <c r="U134" s="35">
        <f t="shared" si="30"/>
        <v>0</v>
      </c>
      <c r="V134" s="35">
        <f t="shared" si="31"/>
        <v>0</v>
      </c>
    </row>
    <row r="135" spans="1:22" x14ac:dyDescent="0.2">
      <c r="A135" s="632" t="s">
        <v>230</v>
      </c>
      <c r="B135" t="s">
        <v>902</v>
      </c>
      <c r="C135" t="s">
        <v>904</v>
      </c>
      <c r="D135" s="172">
        <v>49600</v>
      </c>
      <c r="E135" s="54">
        <v>0</v>
      </c>
      <c r="F135" s="54">
        <v>0</v>
      </c>
      <c r="G135" s="54">
        <v>132000</v>
      </c>
      <c r="H135" s="54">
        <v>35300</v>
      </c>
      <c r="I135" s="54">
        <v>14400</v>
      </c>
      <c r="J135" s="54">
        <v>1750000</v>
      </c>
      <c r="K135" s="54">
        <v>65300</v>
      </c>
      <c r="L135" s="55">
        <v>34700</v>
      </c>
      <c r="M135" s="114">
        <f t="shared" si="24"/>
        <v>2081300</v>
      </c>
      <c r="N135" s="35">
        <f t="shared" si="25"/>
        <v>88.886753471388076</v>
      </c>
      <c r="O135" s="35">
        <f t="shared" si="26"/>
        <v>8.7301205977033582</v>
      </c>
      <c r="P135" s="35">
        <f t="shared" si="27"/>
        <v>2.3831259309085668</v>
      </c>
      <c r="Q135" s="35">
        <f t="shared" si="28"/>
        <v>7.2810810810810811E-2</v>
      </c>
      <c r="R135" s="35">
        <f t="shared" si="29"/>
        <v>0.35277930654925704</v>
      </c>
      <c r="S135" s="35"/>
      <c r="T135" s="35"/>
      <c r="U135" s="35">
        <f t="shared" si="30"/>
        <v>0</v>
      </c>
      <c r="V135" s="35">
        <f t="shared" si="31"/>
        <v>0</v>
      </c>
    </row>
    <row r="136" spans="1:22" x14ac:dyDescent="0.2">
      <c r="A136" s="632" t="s">
        <v>230</v>
      </c>
      <c r="B136" t="s">
        <v>902</v>
      </c>
      <c r="C136" t="s">
        <v>904</v>
      </c>
      <c r="D136" s="172">
        <v>116000</v>
      </c>
      <c r="E136" s="54">
        <v>16300</v>
      </c>
      <c r="F136" s="54">
        <v>11300</v>
      </c>
      <c r="G136" s="54">
        <v>198000</v>
      </c>
      <c r="H136" s="54">
        <v>48100</v>
      </c>
      <c r="I136" s="54">
        <v>15600</v>
      </c>
      <c r="J136" s="54">
        <v>2110000</v>
      </c>
      <c r="K136" s="54">
        <v>82300</v>
      </c>
      <c r="L136" s="55">
        <v>45100</v>
      </c>
      <c r="M136" s="114">
        <f t="shared" si="24"/>
        <v>2642700</v>
      </c>
      <c r="N136" s="35">
        <f t="shared" si="25"/>
        <v>84.66341241911681</v>
      </c>
      <c r="O136" s="35">
        <f t="shared" si="26"/>
        <v>9.9027509743822595</v>
      </c>
      <c r="P136" s="35">
        <f t="shared" si="27"/>
        <v>5.4338366065009271</v>
      </c>
      <c r="Q136" s="35">
        <f t="shared" si="28"/>
        <v>7.7098417806382408E-2</v>
      </c>
      <c r="R136" s="35">
        <f t="shared" si="29"/>
        <v>0.3030187237294612</v>
      </c>
      <c r="S136" s="35"/>
      <c r="T136" s="35"/>
      <c r="U136" s="35">
        <f t="shared" si="30"/>
        <v>0</v>
      </c>
      <c r="V136" s="35">
        <f t="shared" si="31"/>
        <v>0</v>
      </c>
    </row>
    <row r="137" spans="1:22" x14ac:dyDescent="0.2">
      <c r="A137" s="632" t="s">
        <v>230</v>
      </c>
      <c r="B137" t="s">
        <v>902</v>
      </c>
      <c r="C137" t="s">
        <v>904</v>
      </c>
      <c r="D137" s="172">
        <v>18400</v>
      </c>
      <c r="E137" s="54">
        <v>0</v>
      </c>
      <c r="F137" s="54">
        <v>0</v>
      </c>
      <c r="G137" s="54">
        <v>28900</v>
      </c>
      <c r="H137" s="54">
        <v>11500</v>
      </c>
      <c r="I137" s="54">
        <v>0</v>
      </c>
      <c r="J137" s="54">
        <v>330000</v>
      </c>
      <c r="K137" s="54">
        <v>12600</v>
      </c>
      <c r="L137" s="55">
        <v>0</v>
      </c>
      <c r="M137" s="114">
        <f t="shared" si="24"/>
        <v>401400</v>
      </c>
      <c r="N137" s="35">
        <f t="shared" si="25"/>
        <v>85.351270553064268</v>
      </c>
      <c r="O137" s="35">
        <f t="shared" si="26"/>
        <v>10.064773293472845</v>
      </c>
      <c r="P137" s="35">
        <f t="shared" si="27"/>
        <v>4.5839561534628803</v>
      </c>
      <c r="Q137" s="35">
        <f t="shared" si="28"/>
        <v>3.6777583187390543E-2</v>
      </c>
      <c r="R137" s="35">
        <f t="shared" si="29"/>
        <v>0.28465346534653463</v>
      </c>
      <c r="S137" s="35"/>
      <c r="T137" s="35"/>
      <c r="U137" s="35">
        <f t="shared" si="30"/>
        <v>0</v>
      </c>
      <c r="V137" s="35">
        <f t="shared" si="31"/>
        <v>0</v>
      </c>
    </row>
    <row r="138" spans="1:22" x14ac:dyDescent="0.2">
      <c r="A138" s="632" t="s">
        <v>230</v>
      </c>
      <c r="B138" t="s">
        <v>902</v>
      </c>
      <c r="C138" t="s">
        <v>904</v>
      </c>
      <c r="D138" s="172">
        <v>76400</v>
      </c>
      <c r="E138" s="54">
        <v>0</v>
      </c>
      <c r="F138" s="54">
        <v>0</v>
      </c>
      <c r="G138" s="54">
        <v>157000</v>
      </c>
      <c r="H138" s="54">
        <v>36800</v>
      </c>
      <c r="I138" s="54">
        <v>11600</v>
      </c>
      <c r="J138" s="54">
        <v>1570000</v>
      </c>
      <c r="K138" s="54">
        <v>68800</v>
      </c>
      <c r="L138" s="55">
        <v>29900</v>
      </c>
      <c r="M138" s="114">
        <f t="shared" si="24"/>
        <v>1950500</v>
      </c>
      <c r="N138" s="35">
        <f t="shared" si="25"/>
        <v>85.552422455780572</v>
      </c>
      <c r="O138" s="35">
        <f t="shared" si="26"/>
        <v>10.530633170981799</v>
      </c>
      <c r="P138" s="35">
        <f t="shared" si="27"/>
        <v>3.916944373237631</v>
      </c>
      <c r="Q138" s="35">
        <f t="shared" si="28"/>
        <v>7.7065979505003893E-2</v>
      </c>
      <c r="R138" s="35">
        <f t="shared" si="29"/>
        <v>0.29211295034079843</v>
      </c>
      <c r="S138" s="35"/>
      <c r="T138" s="35"/>
      <c r="U138" s="35">
        <f t="shared" si="30"/>
        <v>0</v>
      </c>
      <c r="V138" s="35">
        <f t="shared" si="31"/>
        <v>0</v>
      </c>
    </row>
    <row r="139" spans="1:22" x14ac:dyDescent="0.2">
      <c r="A139" s="632" t="s">
        <v>230</v>
      </c>
      <c r="B139" t="s">
        <v>902</v>
      </c>
      <c r="C139" t="s">
        <v>904</v>
      </c>
      <c r="D139" s="172">
        <v>73900</v>
      </c>
      <c r="E139" s="54">
        <v>0</v>
      </c>
      <c r="F139" s="54">
        <v>0</v>
      </c>
      <c r="G139" s="54">
        <v>136000</v>
      </c>
      <c r="H139" s="54">
        <v>38200</v>
      </c>
      <c r="I139" s="54">
        <v>0</v>
      </c>
      <c r="J139" s="54">
        <v>1500000</v>
      </c>
      <c r="K139" s="54">
        <v>67200</v>
      </c>
      <c r="L139" s="55">
        <v>35400</v>
      </c>
      <c r="M139" s="114">
        <f t="shared" si="24"/>
        <v>1850700</v>
      </c>
      <c r="N139" s="35">
        <f t="shared" si="25"/>
        <v>86.594261630734309</v>
      </c>
      <c r="O139" s="35">
        <f t="shared" si="26"/>
        <v>9.4126546712054893</v>
      </c>
      <c r="P139" s="35">
        <f t="shared" si="27"/>
        <v>3.9930836980601936</v>
      </c>
      <c r="Q139" s="35">
        <f t="shared" si="28"/>
        <v>8.6110071134406593E-2</v>
      </c>
      <c r="R139" s="35">
        <f t="shared" si="29"/>
        <v>0.21928817451205512</v>
      </c>
      <c r="S139" s="35"/>
      <c r="T139" s="35"/>
      <c r="U139" s="35">
        <f t="shared" si="30"/>
        <v>0</v>
      </c>
      <c r="V139" s="35">
        <f t="shared" si="31"/>
        <v>0</v>
      </c>
    </row>
    <row r="140" spans="1:22" x14ac:dyDescent="0.2">
      <c r="A140" s="632" t="s">
        <v>230</v>
      </c>
      <c r="B140" t="s">
        <v>902</v>
      </c>
      <c r="C140" t="s">
        <v>904</v>
      </c>
      <c r="D140" s="172">
        <v>133000</v>
      </c>
      <c r="E140" s="54">
        <v>0</v>
      </c>
      <c r="F140" s="54">
        <v>0</v>
      </c>
      <c r="G140" s="54">
        <v>223000</v>
      </c>
      <c r="H140" s="54">
        <v>53900</v>
      </c>
      <c r="I140" s="54">
        <v>0</v>
      </c>
      <c r="J140" s="54">
        <v>2040000</v>
      </c>
      <c r="K140" s="54">
        <v>88200</v>
      </c>
      <c r="L140" s="55">
        <v>42700</v>
      </c>
      <c r="M140" s="114">
        <f t="shared" si="24"/>
        <v>2580800</v>
      </c>
      <c r="N140" s="35">
        <f t="shared" si="25"/>
        <v>84.117327960322385</v>
      </c>
      <c r="O140" s="35">
        <f t="shared" si="26"/>
        <v>10.729231246125233</v>
      </c>
      <c r="P140" s="35">
        <f t="shared" si="27"/>
        <v>5.1534407935523872</v>
      </c>
      <c r="Q140" s="35">
        <f t="shared" si="28"/>
        <v>7.9966834031968304E-2</v>
      </c>
      <c r="R140" s="35">
        <f t="shared" si="29"/>
        <v>0.19465511014806788</v>
      </c>
      <c r="S140" s="35"/>
      <c r="T140" s="35"/>
      <c r="U140" s="35">
        <f t="shared" si="30"/>
        <v>0</v>
      </c>
      <c r="V140" s="35">
        <f t="shared" si="31"/>
        <v>0</v>
      </c>
    </row>
    <row r="141" spans="1:22" x14ac:dyDescent="0.2">
      <c r="A141" s="632" t="s">
        <v>230</v>
      </c>
      <c r="B141" t="s">
        <v>902</v>
      </c>
      <c r="C141" t="s">
        <v>904</v>
      </c>
      <c r="D141" s="172">
        <v>136000</v>
      </c>
      <c r="E141" s="54">
        <v>19300</v>
      </c>
      <c r="F141" s="54">
        <v>0</v>
      </c>
      <c r="G141" s="54">
        <v>288000</v>
      </c>
      <c r="H141" s="54">
        <v>68400</v>
      </c>
      <c r="I141" s="54">
        <v>23700</v>
      </c>
      <c r="J141" s="54">
        <v>3340000</v>
      </c>
      <c r="K141" s="54">
        <v>116000</v>
      </c>
      <c r="L141" s="55">
        <v>62600</v>
      </c>
      <c r="M141" s="114">
        <f t="shared" si="24"/>
        <v>4054000</v>
      </c>
      <c r="N141" s="35">
        <f t="shared" si="25"/>
        <v>86.793290577207699</v>
      </c>
      <c r="O141" s="35">
        <f t="shared" si="26"/>
        <v>9.3759250123334983</v>
      </c>
      <c r="P141" s="35">
        <f t="shared" si="27"/>
        <v>3.830784410458806</v>
      </c>
      <c r="Q141" s="35">
        <f t="shared" si="28"/>
        <v>6.8549991473881661E-2</v>
      </c>
      <c r="R141" s="35">
        <f t="shared" si="29"/>
        <v>0.30465666929755325</v>
      </c>
      <c r="S141" s="35"/>
      <c r="T141" s="35"/>
      <c r="U141" s="35">
        <f t="shared" si="30"/>
        <v>0</v>
      </c>
      <c r="V141" s="35">
        <f t="shared" si="31"/>
        <v>0</v>
      </c>
    </row>
    <row r="142" spans="1:22" x14ac:dyDescent="0.2">
      <c r="A142" s="632" t="s">
        <v>230</v>
      </c>
      <c r="B142" t="s">
        <v>902</v>
      </c>
      <c r="C142" t="s">
        <v>904</v>
      </c>
      <c r="D142" s="172">
        <v>216000</v>
      </c>
      <c r="E142" s="54">
        <v>0</v>
      </c>
      <c r="F142" s="54">
        <v>0</v>
      </c>
      <c r="G142" s="54">
        <v>375000</v>
      </c>
      <c r="H142" s="54">
        <v>120000</v>
      </c>
      <c r="I142" s="54">
        <v>35700</v>
      </c>
      <c r="J142" s="54">
        <v>3700000</v>
      </c>
      <c r="K142" s="54">
        <v>196000</v>
      </c>
      <c r="L142" s="55">
        <v>100000</v>
      </c>
      <c r="M142" s="114">
        <f t="shared" si="24"/>
        <v>4742700</v>
      </c>
      <c r="N142" s="35">
        <f t="shared" si="25"/>
        <v>84.255803656145233</v>
      </c>
      <c r="O142" s="35">
        <f t="shared" si="26"/>
        <v>11.189828578657727</v>
      </c>
      <c r="P142" s="35">
        <f t="shared" si="27"/>
        <v>4.55436776519704</v>
      </c>
      <c r="Q142" s="35">
        <f t="shared" si="28"/>
        <v>9.90990990990991E-2</v>
      </c>
      <c r="R142" s="35">
        <f t="shared" si="29"/>
        <v>0.36065573770491804</v>
      </c>
      <c r="S142" s="35"/>
      <c r="T142" s="35"/>
      <c r="U142" s="35">
        <f t="shared" si="30"/>
        <v>0</v>
      </c>
      <c r="V142" s="35">
        <f t="shared" si="31"/>
        <v>0</v>
      </c>
    </row>
    <row r="143" spans="1:22" x14ac:dyDescent="0.2">
      <c r="A143" s="632" t="s">
        <v>230</v>
      </c>
      <c r="B143" t="s">
        <v>902</v>
      </c>
      <c r="C143" t="s">
        <v>904</v>
      </c>
      <c r="D143" s="172">
        <v>107000</v>
      </c>
      <c r="E143" s="54">
        <v>0</v>
      </c>
      <c r="F143" s="54">
        <v>0</v>
      </c>
      <c r="G143" s="54">
        <v>187000</v>
      </c>
      <c r="H143" s="54">
        <v>47800</v>
      </c>
      <c r="I143" s="54">
        <v>0</v>
      </c>
      <c r="J143" s="54">
        <v>2570000</v>
      </c>
      <c r="K143" s="54">
        <v>91700</v>
      </c>
      <c r="L143" s="55">
        <v>54400</v>
      </c>
      <c r="M143" s="114">
        <f t="shared" si="24"/>
        <v>3057900</v>
      </c>
      <c r="N143" s="35">
        <f t="shared" si="25"/>
        <v>88.822394453710061</v>
      </c>
      <c r="O143" s="35">
        <f t="shared" si="26"/>
        <v>7.6784721540926775</v>
      </c>
      <c r="P143" s="35">
        <f t="shared" si="27"/>
        <v>3.4991333921972596</v>
      </c>
      <c r="Q143" s="35">
        <f t="shared" si="28"/>
        <v>7.3819078826258239E-2</v>
      </c>
      <c r="R143" s="35">
        <f t="shared" si="29"/>
        <v>0.20357751277683134</v>
      </c>
      <c r="S143" s="35"/>
      <c r="T143" s="35"/>
      <c r="U143" s="35">
        <f t="shared" si="30"/>
        <v>0</v>
      </c>
      <c r="V143" s="35">
        <f t="shared" si="31"/>
        <v>0</v>
      </c>
    </row>
    <row r="144" spans="1:22" x14ac:dyDescent="0.2">
      <c r="A144" s="632" t="s">
        <v>230</v>
      </c>
      <c r="B144" t="s">
        <v>902</v>
      </c>
      <c r="C144" t="s">
        <v>904</v>
      </c>
      <c r="D144" s="172">
        <v>89800</v>
      </c>
      <c r="E144" s="54">
        <v>0</v>
      </c>
      <c r="F144" s="54">
        <v>0</v>
      </c>
      <c r="G144" s="54">
        <v>177000</v>
      </c>
      <c r="H144" s="54">
        <v>45400</v>
      </c>
      <c r="I144" s="54">
        <v>0</v>
      </c>
      <c r="J144" s="54">
        <v>1450000</v>
      </c>
      <c r="K144" s="54">
        <v>84500</v>
      </c>
      <c r="L144" s="55">
        <v>40600</v>
      </c>
      <c r="M144" s="114">
        <f t="shared" si="24"/>
        <v>1887300</v>
      </c>
      <c r="N144" s="35">
        <f t="shared" si="25"/>
        <v>83.457849838393471</v>
      </c>
      <c r="O144" s="35">
        <f t="shared" si="26"/>
        <v>11.784030095904201</v>
      </c>
      <c r="P144" s="35">
        <f t="shared" si="27"/>
        <v>4.7581200657023262</v>
      </c>
      <c r="Q144" s="35">
        <f t="shared" si="28"/>
        <v>0.10519966986223096</v>
      </c>
      <c r="R144" s="35">
        <f t="shared" si="29"/>
        <v>0.20413669064748202</v>
      </c>
      <c r="S144" s="35"/>
      <c r="T144" s="35"/>
      <c r="U144" s="35">
        <f t="shared" si="30"/>
        <v>0</v>
      </c>
      <c r="V144" s="35">
        <f t="shared" si="31"/>
        <v>0</v>
      </c>
    </row>
    <row r="145" spans="1:22" x14ac:dyDescent="0.2">
      <c r="A145" s="632" t="s">
        <v>230</v>
      </c>
      <c r="B145" t="s">
        <v>902</v>
      </c>
      <c r="C145" t="s">
        <v>904</v>
      </c>
      <c r="D145" s="172">
        <v>26200</v>
      </c>
      <c r="E145" s="54">
        <v>0</v>
      </c>
      <c r="F145" s="54">
        <v>0</v>
      </c>
      <c r="G145" s="54">
        <v>47800</v>
      </c>
      <c r="H145" s="54">
        <v>0</v>
      </c>
      <c r="I145" s="54">
        <v>0</v>
      </c>
      <c r="J145" s="54">
        <v>626000</v>
      </c>
      <c r="K145" s="54">
        <v>21500</v>
      </c>
      <c r="L145" s="55">
        <v>11800</v>
      </c>
      <c r="M145" s="114">
        <f t="shared" si="24"/>
        <v>733300</v>
      </c>
      <c r="N145" s="35">
        <f t="shared" si="25"/>
        <v>89.908632210555027</v>
      </c>
      <c r="O145" s="35">
        <f t="shared" si="26"/>
        <v>6.5184781126414837</v>
      </c>
      <c r="P145" s="35">
        <f t="shared" si="27"/>
        <v>3.572889676803491</v>
      </c>
      <c r="Q145" s="35">
        <f t="shared" si="28"/>
        <v>6.8405885029576827E-2</v>
      </c>
      <c r="R145" s="35">
        <f t="shared" si="29"/>
        <v>0</v>
      </c>
      <c r="S145" s="35"/>
      <c r="T145" s="35"/>
      <c r="U145" s="35">
        <f t="shared" si="30"/>
        <v>0</v>
      </c>
      <c r="V145" s="35">
        <f t="shared" si="31"/>
        <v>0</v>
      </c>
    </row>
    <row r="146" spans="1:22" x14ac:dyDescent="0.2">
      <c r="A146" s="632" t="s">
        <v>230</v>
      </c>
      <c r="B146" t="s">
        <v>902</v>
      </c>
      <c r="C146" t="s">
        <v>904</v>
      </c>
      <c r="D146" s="172">
        <v>40900</v>
      </c>
      <c r="E146" s="54">
        <v>0</v>
      </c>
      <c r="F146" s="54">
        <v>0</v>
      </c>
      <c r="G146" s="54">
        <v>103000</v>
      </c>
      <c r="H146" s="54">
        <v>28000</v>
      </c>
      <c r="I146" s="54">
        <v>0</v>
      </c>
      <c r="J146" s="54">
        <v>1130000</v>
      </c>
      <c r="K146" s="54">
        <v>54100</v>
      </c>
      <c r="L146" s="55">
        <v>30400</v>
      </c>
      <c r="M146" s="114">
        <f t="shared" si="24"/>
        <v>1386400</v>
      </c>
      <c r="N146" s="35">
        <f t="shared" si="25"/>
        <v>87.600980957876516</v>
      </c>
      <c r="O146" s="35">
        <f t="shared" si="26"/>
        <v>9.4489324870167337</v>
      </c>
      <c r="P146" s="35">
        <f t="shared" si="27"/>
        <v>2.9500865551067514</v>
      </c>
      <c r="Q146" s="35">
        <f t="shared" si="28"/>
        <v>9.4606834088102096E-2</v>
      </c>
      <c r="R146" s="35">
        <f t="shared" si="29"/>
        <v>0.21374045801526717</v>
      </c>
      <c r="S146" s="35"/>
      <c r="T146" s="35"/>
      <c r="U146" s="35">
        <f t="shared" si="30"/>
        <v>0</v>
      </c>
      <c r="V146" s="35">
        <f t="shared" si="31"/>
        <v>0</v>
      </c>
    </row>
    <row r="147" spans="1:22" x14ac:dyDescent="0.2">
      <c r="A147" s="632" t="s">
        <v>230</v>
      </c>
      <c r="B147" t="s">
        <v>902</v>
      </c>
      <c r="C147" t="s">
        <v>904</v>
      </c>
      <c r="D147" s="172">
        <v>51400</v>
      </c>
      <c r="E147" s="54">
        <v>0</v>
      </c>
      <c r="F147" s="54">
        <v>0</v>
      </c>
      <c r="G147" s="54">
        <v>107000</v>
      </c>
      <c r="H147" s="54">
        <v>27500</v>
      </c>
      <c r="I147" s="54">
        <v>0</v>
      </c>
      <c r="J147" s="54">
        <v>1550000</v>
      </c>
      <c r="K147" s="54">
        <v>49900</v>
      </c>
      <c r="L147" s="55">
        <v>30700</v>
      </c>
      <c r="M147" s="114">
        <f t="shared" si="24"/>
        <v>1816500</v>
      </c>
      <c r="N147" s="35">
        <f t="shared" si="25"/>
        <v>89.766033581062487</v>
      </c>
      <c r="O147" s="35">
        <f t="shared" si="26"/>
        <v>7.4043490228461319</v>
      </c>
      <c r="P147" s="35">
        <f t="shared" si="27"/>
        <v>2.8296173960913844</v>
      </c>
      <c r="Q147" s="35">
        <f t="shared" si="28"/>
        <v>6.8257083282227404E-2</v>
      </c>
      <c r="R147" s="35">
        <f t="shared" si="29"/>
        <v>0.20446096654275092</v>
      </c>
      <c r="S147" s="35"/>
      <c r="T147" s="35"/>
      <c r="U147" s="35">
        <f t="shared" si="30"/>
        <v>0</v>
      </c>
      <c r="V147" s="35">
        <f t="shared" si="31"/>
        <v>0</v>
      </c>
    </row>
    <row r="148" spans="1:22" x14ac:dyDescent="0.2">
      <c r="A148" s="632" t="s">
        <v>230</v>
      </c>
      <c r="B148" t="s">
        <v>902</v>
      </c>
      <c r="C148" t="s">
        <v>904</v>
      </c>
      <c r="D148" s="172">
        <v>143000</v>
      </c>
      <c r="E148" s="54">
        <v>0</v>
      </c>
      <c r="F148" s="54">
        <v>0</v>
      </c>
      <c r="G148" s="54">
        <v>343000</v>
      </c>
      <c r="H148" s="54">
        <v>73900</v>
      </c>
      <c r="I148" s="54">
        <v>19600</v>
      </c>
      <c r="J148" s="54">
        <v>3470000</v>
      </c>
      <c r="K148" s="54">
        <v>161000</v>
      </c>
      <c r="L148" s="55">
        <v>79800</v>
      </c>
      <c r="M148" s="114">
        <f t="shared" si="24"/>
        <v>4290300</v>
      </c>
      <c r="N148" s="35">
        <f t="shared" si="25"/>
        <v>86.492786052257415</v>
      </c>
      <c r="O148" s="35">
        <f t="shared" si="26"/>
        <v>10.174113698342774</v>
      </c>
      <c r="P148" s="35">
        <f t="shared" si="27"/>
        <v>3.3331002493998092</v>
      </c>
      <c r="Q148" s="35">
        <f t="shared" si="28"/>
        <v>8.6396464374258922E-2</v>
      </c>
      <c r="R148" s="35">
        <f t="shared" si="29"/>
        <v>0.25910652920962202</v>
      </c>
      <c r="S148" s="35"/>
      <c r="T148" s="35"/>
      <c r="U148" s="35">
        <f t="shared" si="30"/>
        <v>0</v>
      </c>
      <c r="V148" s="35">
        <f t="shared" si="31"/>
        <v>0</v>
      </c>
    </row>
    <row r="149" spans="1:22" x14ac:dyDescent="0.2">
      <c r="A149" s="632" t="s">
        <v>230</v>
      </c>
      <c r="B149" t="s">
        <v>902</v>
      </c>
      <c r="C149" t="s">
        <v>904</v>
      </c>
      <c r="D149" s="172">
        <v>49300</v>
      </c>
      <c r="E149" s="54">
        <v>0</v>
      </c>
      <c r="F149" s="54">
        <v>0</v>
      </c>
      <c r="G149" s="54">
        <v>111000</v>
      </c>
      <c r="H149" s="54">
        <v>20000</v>
      </c>
      <c r="I149" s="54">
        <v>10400</v>
      </c>
      <c r="J149" s="54">
        <v>1670000</v>
      </c>
      <c r="K149" s="54">
        <v>50800</v>
      </c>
      <c r="L149" s="55">
        <v>29900</v>
      </c>
      <c r="M149" s="114">
        <f t="shared" si="24"/>
        <v>1941400</v>
      </c>
      <c r="N149" s="35">
        <f t="shared" si="25"/>
        <v>90.177191717317399</v>
      </c>
      <c r="O149" s="35">
        <f t="shared" si="26"/>
        <v>7.2834037292675387</v>
      </c>
      <c r="P149" s="35">
        <f t="shared" si="27"/>
        <v>2.5394045534150611</v>
      </c>
      <c r="Q149" s="35">
        <f t="shared" si="28"/>
        <v>6.3174730107956822E-2</v>
      </c>
      <c r="R149" s="35">
        <f t="shared" si="29"/>
        <v>0.28854314002828857</v>
      </c>
      <c r="S149" s="35"/>
      <c r="T149" s="35"/>
      <c r="U149" s="35">
        <f t="shared" si="30"/>
        <v>0</v>
      </c>
      <c r="V149" s="35">
        <f t="shared" si="31"/>
        <v>0</v>
      </c>
    </row>
    <row r="150" spans="1:22" x14ac:dyDescent="0.2">
      <c r="A150" s="632" t="s">
        <v>230</v>
      </c>
      <c r="B150" t="s">
        <v>902</v>
      </c>
      <c r="C150" t="s">
        <v>904</v>
      </c>
      <c r="D150" s="172">
        <v>27800</v>
      </c>
      <c r="E150" s="54">
        <v>0</v>
      </c>
      <c r="F150" s="54">
        <v>0</v>
      </c>
      <c r="G150" s="54">
        <v>53000</v>
      </c>
      <c r="H150" s="54">
        <v>11200</v>
      </c>
      <c r="I150" s="54">
        <v>0</v>
      </c>
      <c r="J150" s="54">
        <v>641000</v>
      </c>
      <c r="K150" s="54">
        <v>24100</v>
      </c>
      <c r="L150" s="55">
        <v>13000</v>
      </c>
      <c r="M150" s="114">
        <f t="shared" si="24"/>
        <v>770100</v>
      </c>
      <c r="N150" s="35">
        <f t="shared" si="25"/>
        <v>88.053499545513574</v>
      </c>
      <c r="O150" s="35">
        <f t="shared" si="26"/>
        <v>8.3365796649785739</v>
      </c>
      <c r="P150" s="35">
        <f t="shared" si="27"/>
        <v>3.6099207895078562</v>
      </c>
      <c r="Q150" s="35">
        <f t="shared" si="28"/>
        <v>7.3882908125645186E-2</v>
      </c>
      <c r="R150" s="35">
        <f t="shared" si="29"/>
        <v>0.17445482866043613</v>
      </c>
      <c r="S150" s="35"/>
      <c r="T150" s="35"/>
      <c r="U150" s="35">
        <f t="shared" si="30"/>
        <v>0</v>
      </c>
      <c r="V150" s="35">
        <f t="shared" si="31"/>
        <v>0</v>
      </c>
    </row>
    <row r="151" spans="1:22" x14ac:dyDescent="0.2">
      <c r="A151" s="632" t="s">
        <v>230</v>
      </c>
      <c r="B151" t="s">
        <v>902</v>
      </c>
      <c r="C151" t="s">
        <v>904</v>
      </c>
      <c r="D151" s="172">
        <v>30400</v>
      </c>
      <c r="E151" s="54">
        <v>0</v>
      </c>
      <c r="F151" s="54">
        <v>0</v>
      </c>
      <c r="G151" s="54">
        <v>69300</v>
      </c>
      <c r="H151" s="54">
        <v>14100</v>
      </c>
      <c r="I151" s="54">
        <v>0</v>
      </c>
      <c r="J151" s="54">
        <v>688000</v>
      </c>
      <c r="K151" s="54">
        <v>27700</v>
      </c>
      <c r="L151" s="55">
        <v>14400</v>
      </c>
      <c r="M151" s="114">
        <f t="shared" si="24"/>
        <v>843900</v>
      </c>
      <c r="N151" s="35">
        <f t="shared" si="25"/>
        <v>86.514989927716556</v>
      </c>
      <c r="O151" s="35">
        <f t="shared" si="26"/>
        <v>9.8826875222182728</v>
      </c>
      <c r="P151" s="35">
        <f t="shared" si="27"/>
        <v>3.6023225500651734</v>
      </c>
      <c r="Q151" s="35">
        <f t="shared" si="28"/>
        <v>7.7386659361731266E-2</v>
      </c>
      <c r="R151" s="35">
        <f t="shared" si="29"/>
        <v>0.16906474820143885</v>
      </c>
      <c r="S151" s="35"/>
      <c r="T151" s="35"/>
      <c r="U151" s="35">
        <f t="shared" si="30"/>
        <v>0</v>
      </c>
      <c r="V151" s="35">
        <f t="shared" si="31"/>
        <v>0</v>
      </c>
    </row>
    <row r="152" spans="1:22" x14ac:dyDescent="0.2">
      <c r="A152" s="632" t="s">
        <v>230</v>
      </c>
      <c r="B152" t="s">
        <v>902</v>
      </c>
      <c r="C152" t="s">
        <v>904</v>
      </c>
      <c r="D152" s="172">
        <v>134000</v>
      </c>
      <c r="E152" s="54">
        <v>0</v>
      </c>
      <c r="F152" s="54">
        <v>0</v>
      </c>
      <c r="G152" s="54">
        <v>227000</v>
      </c>
      <c r="H152" s="54">
        <v>42800</v>
      </c>
      <c r="I152" s="54">
        <v>14800</v>
      </c>
      <c r="J152" s="54">
        <v>2260000</v>
      </c>
      <c r="K152" s="54">
        <v>109000</v>
      </c>
      <c r="L152" s="55">
        <v>61200</v>
      </c>
      <c r="M152" s="114">
        <f t="shared" si="24"/>
        <v>2848800</v>
      </c>
      <c r="N152" s="35">
        <f t="shared" si="25"/>
        <v>85.306093793878119</v>
      </c>
      <c r="O152" s="35">
        <f t="shared" si="26"/>
        <v>9.9901713001965735</v>
      </c>
      <c r="P152" s="35">
        <f t="shared" si="27"/>
        <v>4.7037349059253017</v>
      </c>
      <c r="Q152" s="35">
        <f t="shared" si="28"/>
        <v>9.5218500534935399E-2</v>
      </c>
      <c r="R152" s="35">
        <f t="shared" si="29"/>
        <v>0.25439212930428673</v>
      </c>
      <c r="S152" s="35"/>
      <c r="T152" s="35"/>
      <c r="U152" s="35">
        <f t="shared" si="30"/>
        <v>0</v>
      </c>
      <c r="V152" s="35">
        <f t="shared" si="31"/>
        <v>0</v>
      </c>
    </row>
    <row r="153" spans="1:22" x14ac:dyDescent="0.2">
      <c r="A153" s="632" t="s">
        <v>230</v>
      </c>
      <c r="B153" t="s">
        <v>902</v>
      </c>
      <c r="C153" t="s">
        <v>904</v>
      </c>
      <c r="D153" s="172">
        <v>10300</v>
      </c>
      <c r="E153" s="54">
        <v>0</v>
      </c>
      <c r="F153" s="54">
        <v>0</v>
      </c>
      <c r="G153" s="54">
        <v>22800</v>
      </c>
      <c r="H153" s="54">
        <v>0</v>
      </c>
      <c r="I153" s="54">
        <v>0</v>
      </c>
      <c r="J153" s="54">
        <v>289000</v>
      </c>
      <c r="K153" s="54">
        <v>10400</v>
      </c>
      <c r="L153" s="55">
        <v>0</v>
      </c>
      <c r="M153" s="114">
        <f t="shared" si="24"/>
        <v>332500</v>
      </c>
      <c r="N153" s="35">
        <f t="shared" si="25"/>
        <v>90.045112781954884</v>
      </c>
      <c r="O153" s="35">
        <f t="shared" si="26"/>
        <v>6.8571428571428577</v>
      </c>
      <c r="P153" s="35">
        <f t="shared" si="27"/>
        <v>3.0977443609022557</v>
      </c>
      <c r="Q153" s="35">
        <f t="shared" si="28"/>
        <v>3.4736138944555781E-2</v>
      </c>
      <c r="R153" s="35">
        <f t="shared" si="29"/>
        <v>0</v>
      </c>
      <c r="S153" s="35"/>
      <c r="T153" s="35"/>
      <c r="U153" s="35">
        <f t="shared" si="30"/>
        <v>0</v>
      </c>
      <c r="V153" s="35">
        <f t="shared" si="31"/>
        <v>0</v>
      </c>
    </row>
    <row r="154" spans="1:22" x14ac:dyDescent="0.2">
      <c r="A154" s="632" t="s">
        <v>230</v>
      </c>
      <c r="B154" t="s">
        <v>902</v>
      </c>
      <c r="C154" t="s">
        <v>904</v>
      </c>
      <c r="D154" s="172">
        <v>22700</v>
      </c>
      <c r="E154" s="54">
        <v>0</v>
      </c>
      <c r="F154" s="54">
        <v>0</v>
      </c>
      <c r="G154" s="54">
        <v>41900</v>
      </c>
      <c r="H154" s="54">
        <v>12800</v>
      </c>
      <c r="I154" s="54">
        <v>0</v>
      </c>
      <c r="J154" s="54">
        <v>409000</v>
      </c>
      <c r="K154" s="54">
        <v>16900</v>
      </c>
      <c r="L154" s="55">
        <v>11900</v>
      </c>
      <c r="M154" s="114">
        <f t="shared" si="24"/>
        <v>515200</v>
      </c>
      <c r="N154" s="35">
        <f t="shared" si="25"/>
        <v>84.976708074534159</v>
      </c>
      <c r="O154" s="35">
        <f t="shared" si="26"/>
        <v>10.61723602484472</v>
      </c>
      <c r="P154" s="35">
        <f t="shared" si="27"/>
        <v>4.4060559006211184</v>
      </c>
      <c r="Q154" s="35">
        <f t="shared" si="28"/>
        <v>9.2964824120603015E-2</v>
      </c>
      <c r="R154" s="35">
        <f t="shared" si="29"/>
        <v>0.2340036563071298</v>
      </c>
      <c r="S154" s="35"/>
      <c r="T154" s="35"/>
      <c r="U154" s="35">
        <f t="shared" si="30"/>
        <v>0</v>
      </c>
      <c r="V154" s="35">
        <f t="shared" si="31"/>
        <v>0</v>
      </c>
    </row>
    <row r="155" spans="1:22" x14ac:dyDescent="0.2">
      <c r="A155" s="632" t="s">
        <v>230</v>
      </c>
      <c r="B155" t="s">
        <v>902</v>
      </c>
      <c r="C155" t="s">
        <v>904</v>
      </c>
      <c r="D155" s="172">
        <v>54400</v>
      </c>
      <c r="E155" s="54">
        <v>0</v>
      </c>
      <c r="F155" s="54">
        <v>0</v>
      </c>
      <c r="G155" s="54">
        <v>138000</v>
      </c>
      <c r="H155" s="54">
        <v>27800</v>
      </c>
      <c r="I155" s="54">
        <v>0</v>
      </c>
      <c r="J155" s="54">
        <v>674000</v>
      </c>
      <c r="K155" s="54">
        <v>46200</v>
      </c>
      <c r="L155" s="55">
        <v>21700</v>
      </c>
      <c r="M155" s="114">
        <f t="shared" si="24"/>
        <v>962100</v>
      </c>
      <c r="N155" s="35">
        <f t="shared" si="25"/>
        <v>77.1125662613034</v>
      </c>
      <c r="O155" s="35">
        <f t="shared" si="26"/>
        <v>17.233135848664379</v>
      </c>
      <c r="P155" s="35">
        <f t="shared" si="27"/>
        <v>5.6542978900322209</v>
      </c>
      <c r="Q155" s="35">
        <f t="shared" si="28"/>
        <v>0.1207709933953363</v>
      </c>
      <c r="R155" s="35">
        <f t="shared" si="29"/>
        <v>0.16767189384800965</v>
      </c>
      <c r="S155" s="35"/>
      <c r="T155" s="35"/>
      <c r="U155" s="35">
        <f t="shared" si="30"/>
        <v>0</v>
      </c>
      <c r="V155" s="35">
        <f t="shared" si="31"/>
        <v>0</v>
      </c>
    </row>
    <row r="156" spans="1:22" x14ac:dyDescent="0.2">
      <c r="A156" s="632" t="s">
        <v>230</v>
      </c>
      <c r="B156" t="s">
        <v>902</v>
      </c>
      <c r="C156" t="s">
        <v>904</v>
      </c>
      <c r="D156" s="172">
        <v>86900</v>
      </c>
      <c r="E156" s="54">
        <v>0</v>
      </c>
      <c r="F156" s="54">
        <v>0</v>
      </c>
      <c r="G156" s="54">
        <v>196000</v>
      </c>
      <c r="H156" s="54">
        <v>40600</v>
      </c>
      <c r="I156" s="54">
        <v>11200</v>
      </c>
      <c r="J156" s="54">
        <v>1540000</v>
      </c>
      <c r="K156" s="54">
        <v>85800</v>
      </c>
      <c r="L156" s="55">
        <v>43500</v>
      </c>
      <c r="M156" s="114">
        <f t="shared" si="24"/>
        <v>2004000</v>
      </c>
      <c r="N156" s="35">
        <f t="shared" si="25"/>
        <v>83.298403193612771</v>
      </c>
      <c r="O156" s="35">
        <f t="shared" si="26"/>
        <v>12.365269461077846</v>
      </c>
      <c r="P156" s="35">
        <f t="shared" si="27"/>
        <v>4.3363273453093809</v>
      </c>
      <c r="Q156" s="35">
        <f t="shared" si="28"/>
        <v>0.10351644401845085</v>
      </c>
      <c r="R156" s="35">
        <f t="shared" si="29"/>
        <v>0.25423728813559321</v>
      </c>
      <c r="S156" s="35"/>
      <c r="T156" s="35"/>
      <c r="U156" s="35">
        <f t="shared" si="30"/>
        <v>0</v>
      </c>
      <c r="V156" s="35">
        <f t="shared" si="31"/>
        <v>0</v>
      </c>
    </row>
    <row r="157" spans="1:22" x14ac:dyDescent="0.2">
      <c r="A157" s="632" t="s">
        <v>230</v>
      </c>
      <c r="B157" t="s">
        <v>902</v>
      </c>
      <c r="C157" t="s">
        <v>904</v>
      </c>
      <c r="D157" s="172">
        <v>63400</v>
      </c>
      <c r="E157" s="54">
        <v>0</v>
      </c>
      <c r="F157" s="54">
        <v>0</v>
      </c>
      <c r="G157" s="54">
        <v>135000</v>
      </c>
      <c r="H157" s="54">
        <v>28400</v>
      </c>
      <c r="I157" s="54">
        <v>0</v>
      </c>
      <c r="J157" s="54">
        <v>1160000</v>
      </c>
      <c r="K157" s="54">
        <v>57200</v>
      </c>
      <c r="L157" s="55">
        <v>29900</v>
      </c>
      <c r="M157" s="114">
        <f t="shared" si="24"/>
        <v>1473900</v>
      </c>
      <c r="N157" s="35">
        <f t="shared" si="25"/>
        <v>84.61225320578059</v>
      </c>
      <c r="O157" s="35">
        <f t="shared" si="26"/>
        <v>11.086233801479068</v>
      </c>
      <c r="P157" s="35">
        <f t="shared" si="27"/>
        <v>4.3015129927403484</v>
      </c>
      <c r="Q157" s="35">
        <f t="shared" si="28"/>
        <v>9.3817656964156837E-2</v>
      </c>
      <c r="R157" s="35">
        <f t="shared" si="29"/>
        <v>0.17380660954712362</v>
      </c>
      <c r="S157" s="35"/>
      <c r="T157" s="35"/>
      <c r="U157" s="35">
        <f t="shared" si="30"/>
        <v>0</v>
      </c>
      <c r="V157" s="35">
        <f t="shared" si="31"/>
        <v>0</v>
      </c>
    </row>
    <row r="158" spans="1:22" x14ac:dyDescent="0.2">
      <c r="A158" s="632" t="s">
        <v>230</v>
      </c>
      <c r="B158" t="s">
        <v>902</v>
      </c>
      <c r="C158" t="s">
        <v>904</v>
      </c>
      <c r="D158" s="172">
        <v>284000</v>
      </c>
      <c r="E158" s="54">
        <v>0</v>
      </c>
      <c r="F158" s="54">
        <v>0</v>
      </c>
      <c r="G158" s="54">
        <v>628000</v>
      </c>
      <c r="H158" s="54">
        <v>122000</v>
      </c>
      <c r="I158" s="54">
        <v>29500</v>
      </c>
      <c r="J158" s="54">
        <v>4860000</v>
      </c>
      <c r="K158" s="54">
        <v>251000</v>
      </c>
      <c r="L158" s="55">
        <v>110000</v>
      </c>
      <c r="M158" s="114">
        <f t="shared" si="24"/>
        <v>6284500</v>
      </c>
      <c r="N158" s="35">
        <f t="shared" si="25"/>
        <v>83.077412681995384</v>
      </c>
      <c r="O158" s="35">
        <f t="shared" si="26"/>
        <v>12.403532500596706</v>
      </c>
      <c r="P158" s="35">
        <f t="shared" si="27"/>
        <v>4.5190548174079082</v>
      </c>
      <c r="Q158" s="35">
        <f t="shared" si="28"/>
        <v>9.0212602949626505E-2</v>
      </c>
      <c r="R158" s="35">
        <f t="shared" si="29"/>
        <v>0.23220012828736369</v>
      </c>
      <c r="S158" s="35"/>
      <c r="T158" s="35"/>
      <c r="U158" s="35">
        <f t="shared" si="30"/>
        <v>0</v>
      </c>
      <c r="V158" s="35">
        <f t="shared" si="31"/>
        <v>0</v>
      </c>
    </row>
    <row r="159" spans="1:22" x14ac:dyDescent="0.2">
      <c r="A159" s="632" t="s">
        <v>230</v>
      </c>
      <c r="B159" t="s">
        <v>902</v>
      </c>
      <c r="C159" t="s">
        <v>904</v>
      </c>
      <c r="D159" s="172">
        <v>106000</v>
      </c>
      <c r="E159" s="54">
        <v>0</v>
      </c>
      <c r="F159" s="54">
        <v>0</v>
      </c>
      <c r="G159" s="54">
        <v>242000</v>
      </c>
      <c r="H159" s="54">
        <v>40200</v>
      </c>
      <c r="I159" s="54">
        <v>10000</v>
      </c>
      <c r="J159" s="54">
        <v>1750000</v>
      </c>
      <c r="K159" s="54">
        <v>79700</v>
      </c>
      <c r="L159" s="55">
        <v>37900</v>
      </c>
      <c r="M159" s="114">
        <f t="shared" si="24"/>
        <v>2265800</v>
      </c>
      <c r="N159" s="35">
        <f t="shared" si="25"/>
        <v>82.425633330391037</v>
      </c>
      <c r="O159" s="35">
        <f t="shared" si="26"/>
        <v>12.896107335157561</v>
      </c>
      <c r="P159" s="35">
        <f t="shared" si="27"/>
        <v>4.6782593344514085</v>
      </c>
      <c r="Q159" s="35">
        <f t="shared" si="28"/>
        <v>8.326194045834226E-2</v>
      </c>
      <c r="R159" s="35">
        <f t="shared" si="29"/>
        <v>0.20602327173169063</v>
      </c>
      <c r="S159" s="35"/>
      <c r="T159" s="35"/>
      <c r="U159" s="35">
        <f t="shared" si="30"/>
        <v>0</v>
      </c>
      <c r="V159" s="35">
        <f t="shared" si="31"/>
        <v>0</v>
      </c>
    </row>
    <row r="160" spans="1:22" x14ac:dyDescent="0.2">
      <c r="A160" s="632" t="s">
        <v>230</v>
      </c>
      <c r="B160" t="s">
        <v>902</v>
      </c>
      <c r="C160" t="s">
        <v>904</v>
      </c>
      <c r="D160" s="172">
        <v>11400</v>
      </c>
      <c r="E160" s="54">
        <v>0</v>
      </c>
      <c r="F160" s="54">
        <v>0</v>
      </c>
      <c r="G160" s="54">
        <v>22400</v>
      </c>
      <c r="H160" s="54">
        <v>0</v>
      </c>
      <c r="I160" s="54">
        <v>0</v>
      </c>
      <c r="J160" s="54">
        <v>221000</v>
      </c>
      <c r="K160" s="54">
        <v>10800</v>
      </c>
      <c r="L160" s="55">
        <v>0</v>
      </c>
      <c r="M160" s="114">
        <f t="shared" si="24"/>
        <v>265600</v>
      </c>
      <c r="N160" s="35">
        <f t="shared" si="25"/>
        <v>87.274096385542165</v>
      </c>
      <c r="O160" s="35">
        <f t="shared" si="26"/>
        <v>8.4337349397590362</v>
      </c>
      <c r="P160" s="35">
        <f t="shared" si="27"/>
        <v>4.2921686746987948</v>
      </c>
      <c r="Q160" s="35">
        <f t="shared" si="28"/>
        <v>4.6591889559965488E-2</v>
      </c>
      <c r="R160" s="35">
        <f t="shared" si="29"/>
        <v>0</v>
      </c>
      <c r="S160" s="35"/>
      <c r="T160" s="35"/>
      <c r="U160" s="35">
        <f t="shared" si="30"/>
        <v>0</v>
      </c>
      <c r="V160" s="35">
        <f t="shared" si="31"/>
        <v>0</v>
      </c>
    </row>
    <row r="161" spans="1:35" x14ac:dyDescent="0.2">
      <c r="A161" s="632" t="s">
        <v>230</v>
      </c>
      <c r="B161" t="s">
        <v>902</v>
      </c>
      <c r="C161" t="s">
        <v>904</v>
      </c>
      <c r="D161" s="172">
        <v>25700</v>
      </c>
      <c r="E161" s="54">
        <v>0</v>
      </c>
      <c r="F161" s="54">
        <v>0</v>
      </c>
      <c r="G161" s="54">
        <v>58000</v>
      </c>
      <c r="H161" s="54">
        <v>12700</v>
      </c>
      <c r="I161" s="54">
        <v>0</v>
      </c>
      <c r="J161" s="54">
        <v>634000</v>
      </c>
      <c r="K161" s="54">
        <v>26600</v>
      </c>
      <c r="L161" s="55">
        <v>14900</v>
      </c>
      <c r="M161" s="114">
        <f t="shared" si="24"/>
        <v>771900</v>
      </c>
      <c r="N161" s="35">
        <f t="shared" si="25"/>
        <v>87.511335665241603</v>
      </c>
      <c r="O161" s="35">
        <f t="shared" si="26"/>
        <v>9.1592175152221795</v>
      </c>
      <c r="P161" s="35">
        <f t="shared" si="27"/>
        <v>3.3294468195362095</v>
      </c>
      <c r="Q161" s="35">
        <f t="shared" si="28"/>
        <v>8.349370836417469E-2</v>
      </c>
      <c r="R161" s="35">
        <f t="shared" si="29"/>
        <v>0.17963224893917965</v>
      </c>
      <c r="S161" s="35"/>
      <c r="T161" s="35"/>
      <c r="U161" s="35">
        <f t="shared" si="30"/>
        <v>0</v>
      </c>
      <c r="V161" s="35">
        <f t="shared" si="31"/>
        <v>0</v>
      </c>
    </row>
    <row r="162" spans="1:35" x14ac:dyDescent="0.2">
      <c r="A162" s="632" t="s">
        <v>230</v>
      </c>
      <c r="B162" t="s">
        <v>902</v>
      </c>
      <c r="C162" t="s">
        <v>904</v>
      </c>
      <c r="D162" s="172">
        <v>207000</v>
      </c>
      <c r="E162" s="54">
        <v>0</v>
      </c>
      <c r="F162" s="54">
        <v>0</v>
      </c>
      <c r="G162" s="54">
        <v>614000</v>
      </c>
      <c r="H162" s="54">
        <v>103000</v>
      </c>
      <c r="I162" s="54">
        <v>26500</v>
      </c>
      <c r="J162" s="54">
        <v>2410000</v>
      </c>
      <c r="K162" s="54">
        <v>197000</v>
      </c>
      <c r="L162" s="55">
        <v>79000</v>
      </c>
      <c r="M162" s="114">
        <f t="shared" si="24"/>
        <v>3636500</v>
      </c>
      <c r="N162" s="35">
        <f t="shared" si="25"/>
        <v>73.862230166368761</v>
      </c>
      <c r="O162" s="35">
        <f t="shared" si="26"/>
        <v>20.445483294376459</v>
      </c>
      <c r="P162" s="35">
        <f t="shared" si="27"/>
        <v>5.6922865392547779</v>
      </c>
      <c r="Q162" s="35">
        <f t="shared" si="28"/>
        <v>0.13216679076693968</v>
      </c>
      <c r="R162" s="35">
        <f t="shared" si="29"/>
        <v>0.20981842636180228</v>
      </c>
      <c r="S162" s="35"/>
      <c r="T162" s="35"/>
      <c r="U162" s="35">
        <f t="shared" si="30"/>
        <v>0</v>
      </c>
      <c r="V162" s="35">
        <f t="shared" si="31"/>
        <v>0</v>
      </c>
    </row>
    <row r="163" spans="1:35" x14ac:dyDescent="0.2">
      <c r="A163" s="632" t="s">
        <v>230</v>
      </c>
      <c r="B163" t="s">
        <v>902</v>
      </c>
      <c r="C163" t="s">
        <v>904</v>
      </c>
      <c r="D163" s="172">
        <v>14600</v>
      </c>
      <c r="E163" s="54">
        <v>0</v>
      </c>
      <c r="F163" s="54">
        <v>0</v>
      </c>
      <c r="G163" s="54">
        <v>38300</v>
      </c>
      <c r="H163" s="54">
        <v>0</v>
      </c>
      <c r="I163" s="54">
        <v>0</v>
      </c>
      <c r="J163" s="54">
        <v>384000</v>
      </c>
      <c r="K163" s="54">
        <v>17400</v>
      </c>
      <c r="L163" s="55">
        <v>10500</v>
      </c>
      <c r="M163" s="114">
        <f t="shared" si="24"/>
        <v>464800</v>
      </c>
      <c r="N163" s="35">
        <f t="shared" si="25"/>
        <v>88.618760757314973</v>
      </c>
      <c r="O163" s="35">
        <f t="shared" si="26"/>
        <v>8.2401032702237522</v>
      </c>
      <c r="P163" s="35">
        <f t="shared" si="27"/>
        <v>3.141135972461274</v>
      </c>
      <c r="Q163" s="35">
        <f t="shared" si="28"/>
        <v>9.3226511289147856E-2</v>
      </c>
      <c r="R163" s="35">
        <f t="shared" si="29"/>
        <v>0</v>
      </c>
      <c r="S163" s="35"/>
      <c r="T163" s="35"/>
      <c r="U163" s="35">
        <f t="shared" si="30"/>
        <v>0</v>
      </c>
      <c r="V163" s="35">
        <f t="shared" si="31"/>
        <v>0</v>
      </c>
    </row>
    <row r="164" spans="1:35" x14ac:dyDescent="0.2">
      <c r="A164" s="632" t="s">
        <v>230</v>
      </c>
      <c r="B164" t="s">
        <v>902</v>
      </c>
      <c r="C164" t="s">
        <v>904</v>
      </c>
      <c r="D164" s="172">
        <v>10600</v>
      </c>
      <c r="E164" s="54">
        <v>0</v>
      </c>
      <c r="F164" s="54">
        <v>0</v>
      </c>
      <c r="G164" s="54">
        <v>28700</v>
      </c>
      <c r="H164" s="54">
        <v>0</v>
      </c>
      <c r="I164" s="54">
        <v>0</v>
      </c>
      <c r="J164" s="54">
        <v>320000</v>
      </c>
      <c r="K164" s="54">
        <v>13600</v>
      </c>
      <c r="L164" s="55">
        <v>0</v>
      </c>
      <c r="M164" s="114">
        <f t="shared" si="24"/>
        <v>372900</v>
      </c>
      <c r="N164" s="35">
        <f t="shared" si="25"/>
        <v>89.460981496379716</v>
      </c>
      <c r="O164" s="35">
        <f t="shared" si="26"/>
        <v>7.6964333601501744</v>
      </c>
      <c r="P164" s="35">
        <f t="shared" si="27"/>
        <v>2.8425851434700991</v>
      </c>
      <c r="Q164" s="35">
        <f t="shared" si="28"/>
        <v>4.0767386091127102E-2</v>
      </c>
      <c r="R164" s="35">
        <f t="shared" si="29"/>
        <v>0</v>
      </c>
      <c r="S164" s="35"/>
      <c r="T164" s="35"/>
      <c r="U164" s="35">
        <f t="shared" si="30"/>
        <v>0</v>
      </c>
      <c r="V164" s="35">
        <f t="shared" si="31"/>
        <v>0</v>
      </c>
    </row>
    <row r="165" spans="1:35" x14ac:dyDescent="0.2">
      <c r="A165" s="632" t="s">
        <v>230</v>
      </c>
      <c r="B165" t="s">
        <v>902</v>
      </c>
      <c r="C165" t="s">
        <v>904</v>
      </c>
      <c r="D165" s="172">
        <v>22000</v>
      </c>
      <c r="E165" s="54">
        <v>0</v>
      </c>
      <c r="F165" s="54">
        <v>0</v>
      </c>
      <c r="G165" s="54">
        <v>38600</v>
      </c>
      <c r="H165" s="54">
        <v>0</v>
      </c>
      <c r="I165" s="54">
        <v>0</v>
      </c>
      <c r="J165" s="54">
        <v>555000</v>
      </c>
      <c r="K165" s="54">
        <v>16700</v>
      </c>
      <c r="L165" s="55">
        <v>10000</v>
      </c>
      <c r="M165" s="114">
        <f t="shared" si="24"/>
        <v>642300</v>
      </c>
      <c r="N165" s="35">
        <f t="shared" si="25"/>
        <v>90.565156468939747</v>
      </c>
      <c r="O165" s="35">
        <f t="shared" si="26"/>
        <v>6.0096528102132956</v>
      </c>
      <c r="P165" s="35">
        <f t="shared" si="27"/>
        <v>3.4251907208469561</v>
      </c>
      <c r="Q165" s="35">
        <f t="shared" si="28"/>
        <v>6.309094034725804E-2</v>
      </c>
      <c r="R165" s="35">
        <f t="shared" si="29"/>
        <v>0</v>
      </c>
      <c r="S165" s="35"/>
      <c r="T165" s="35"/>
      <c r="U165" s="35">
        <f t="shared" si="30"/>
        <v>0</v>
      </c>
      <c r="V165" s="35">
        <f t="shared" si="31"/>
        <v>0</v>
      </c>
    </row>
    <row r="166" spans="1:35" x14ac:dyDescent="0.2">
      <c r="A166" s="632" t="s">
        <v>230</v>
      </c>
      <c r="B166" t="s">
        <v>902</v>
      </c>
      <c r="C166" t="s">
        <v>904</v>
      </c>
      <c r="D166" s="172">
        <v>20700</v>
      </c>
      <c r="E166" s="54">
        <v>0</v>
      </c>
      <c r="F166" s="54">
        <v>0</v>
      </c>
      <c r="G166" s="54">
        <v>35500</v>
      </c>
      <c r="H166" s="54">
        <v>10700</v>
      </c>
      <c r="I166" s="54">
        <v>0</v>
      </c>
      <c r="J166" s="54">
        <v>347000</v>
      </c>
      <c r="K166" s="54">
        <v>13600</v>
      </c>
      <c r="L166" s="55">
        <v>0</v>
      </c>
      <c r="M166" s="114">
        <f t="shared" si="24"/>
        <v>427500</v>
      </c>
      <c r="N166" s="35">
        <f t="shared" si="25"/>
        <v>84.350877192982452</v>
      </c>
      <c r="O166" s="35">
        <f t="shared" si="26"/>
        <v>10.807017543859649</v>
      </c>
      <c r="P166" s="35">
        <f t="shared" si="27"/>
        <v>4.8421052631578947</v>
      </c>
      <c r="Q166" s="35">
        <f t="shared" si="28"/>
        <v>3.7714919578480312E-2</v>
      </c>
      <c r="R166" s="35">
        <f t="shared" si="29"/>
        <v>0.23160173160173161</v>
      </c>
      <c r="S166" s="35"/>
      <c r="T166" s="35"/>
      <c r="U166" s="35">
        <f t="shared" si="30"/>
        <v>0</v>
      </c>
      <c r="V166" s="35">
        <f t="shared" si="31"/>
        <v>0</v>
      </c>
    </row>
    <row r="167" spans="1:35" x14ac:dyDescent="0.2">
      <c r="A167" s="632" t="s">
        <v>230</v>
      </c>
      <c r="B167" t="s">
        <v>902</v>
      </c>
      <c r="C167" t="s">
        <v>904</v>
      </c>
      <c r="D167" s="172">
        <v>17900</v>
      </c>
      <c r="E167" s="54">
        <v>0</v>
      </c>
      <c r="F167" s="54">
        <v>0</v>
      </c>
      <c r="G167" s="54">
        <v>38800</v>
      </c>
      <c r="H167" s="54">
        <v>10100</v>
      </c>
      <c r="I167" s="54">
        <v>0</v>
      </c>
      <c r="J167" s="54">
        <v>380000</v>
      </c>
      <c r="K167" s="54">
        <v>13200</v>
      </c>
      <c r="L167" s="55">
        <v>0</v>
      </c>
      <c r="M167" s="114">
        <f t="shared" si="24"/>
        <v>460000</v>
      </c>
      <c r="N167" s="35">
        <f t="shared" si="25"/>
        <v>85.478260869565219</v>
      </c>
      <c r="O167" s="35">
        <f t="shared" si="26"/>
        <v>10.630434782608695</v>
      </c>
      <c r="P167" s="35">
        <f t="shared" si="27"/>
        <v>3.8913043478260869</v>
      </c>
      <c r="Q167" s="35">
        <f t="shared" si="28"/>
        <v>3.3570701932858597E-2</v>
      </c>
      <c r="R167" s="35">
        <f t="shared" si="29"/>
        <v>0.20654396728016361</v>
      </c>
      <c r="S167" s="35"/>
      <c r="T167" s="35"/>
      <c r="U167" s="35">
        <f t="shared" si="30"/>
        <v>0</v>
      </c>
      <c r="V167" s="35">
        <f t="shared" si="31"/>
        <v>0</v>
      </c>
    </row>
    <row r="168" spans="1:35" x14ac:dyDescent="0.2">
      <c r="A168" s="632" t="s">
        <v>230</v>
      </c>
      <c r="B168" t="s">
        <v>902</v>
      </c>
      <c r="C168" t="s">
        <v>904</v>
      </c>
      <c r="D168" s="172">
        <v>34500</v>
      </c>
      <c r="E168" s="54">
        <v>0</v>
      </c>
      <c r="F168" s="54">
        <v>0</v>
      </c>
      <c r="G168" s="54">
        <v>68400</v>
      </c>
      <c r="H168" s="54">
        <v>15400</v>
      </c>
      <c r="I168" s="54">
        <v>0</v>
      </c>
      <c r="J168" s="54">
        <v>775000</v>
      </c>
      <c r="K168" s="54">
        <v>30800</v>
      </c>
      <c r="L168" s="55">
        <v>19100</v>
      </c>
      <c r="M168" s="114">
        <f t="shared" si="24"/>
        <v>943200</v>
      </c>
      <c r="N168" s="35">
        <f t="shared" si="25"/>
        <v>87.457591178965217</v>
      </c>
      <c r="O168" s="35">
        <f t="shared" si="26"/>
        <v>8.8846480067854117</v>
      </c>
      <c r="P168" s="35">
        <f t="shared" si="27"/>
        <v>3.6577608142493641</v>
      </c>
      <c r="Q168" s="35">
        <f t="shared" si="28"/>
        <v>8.364650260637653E-2</v>
      </c>
      <c r="R168" s="35">
        <f t="shared" si="29"/>
        <v>0.18377088305489261</v>
      </c>
      <c r="S168" s="35"/>
      <c r="T168" s="35"/>
      <c r="U168" s="35">
        <f t="shared" si="30"/>
        <v>0</v>
      </c>
      <c r="V168" s="35">
        <f t="shared" si="31"/>
        <v>0</v>
      </c>
    </row>
    <row r="169" spans="1:35" x14ac:dyDescent="0.2">
      <c r="A169" s="632" t="s">
        <v>230</v>
      </c>
      <c r="B169" t="s">
        <v>902</v>
      </c>
      <c r="C169" t="s">
        <v>904</v>
      </c>
      <c r="D169" s="172">
        <v>21200</v>
      </c>
      <c r="E169" s="54">
        <v>0</v>
      </c>
      <c r="F169" s="54">
        <v>0</v>
      </c>
      <c r="G169" s="54">
        <v>53900</v>
      </c>
      <c r="H169" s="54">
        <v>10800</v>
      </c>
      <c r="I169" s="54">
        <v>0</v>
      </c>
      <c r="J169" s="54">
        <v>479000</v>
      </c>
      <c r="K169" s="54">
        <v>19500</v>
      </c>
      <c r="L169" s="55">
        <v>10700</v>
      </c>
      <c r="M169" s="114">
        <f t="shared" si="24"/>
        <v>595100</v>
      </c>
      <c r="N169" s="35">
        <f t="shared" si="25"/>
        <v>85.565451184674842</v>
      </c>
      <c r="O169" s="35">
        <f t="shared" si="26"/>
        <v>10.872122332381112</v>
      </c>
      <c r="P169" s="35">
        <f t="shared" si="27"/>
        <v>3.5624264829440428</v>
      </c>
      <c r="Q169" s="35">
        <f t="shared" si="28"/>
        <v>8.0322073841319716E-2</v>
      </c>
      <c r="R169" s="35">
        <f t="shared" si="29"/>
        <v>0.16692426584234932</v>
      </c>
      <c r="S169" s="35"/>
      <c r="T169" s="35"/>
      <c r="U169" s="35">
        <f t="shared" si="30"/>
        <v>0</v>
      </c>
      <c r="V169" s="35">
        <f t="shared" si="31"/>
        <v>0</v>
      </c>
    </row>
    <row r="170" spans="1:35" x14ac:dyDescent="0.2">
      <c r="A170" s="632" t="s">
        <v>230</v>
      </c>
      <c r="B170" t="s">
        <v>902</v>
      </c>
      <c r="C170" t="s">
        <v>904</v>
      </c>
      <c r="D170" s="172">
        <v>15500</v>
      </c>
      <c r="E170" s="54">
        <v>0</v>
      </c>
      <c r="F170" s="54">
        <v>0</v>
      </c>
      <c r="G170" s="54">
        <v>33300</v>
      </c>
      <c r="H170" s="54">
        <v>0</v>
      </c>
      <c r="I170" s="54">
        <v>0</v>
      </c>
      <c r="J170" s="54">
        <v>331000</v>
      </c>
      <c r="K170" s="54">
        <v>12700</v>
      </c>
      <c r="L170" s="55">
        <v>0</v>
      </c>
      <c r="M170" s="114">
        <f t="shared" si="24"/>
        <v>392500</v>
      </c>
      <c r="N170" s="35">
        <f t="shared" si="25"/>
        <v>87.566878980891715</v>
      </c>
      <c r="O170" s="35">
        <f t="shared" si="26"/>
        <v>8.4840764331210199</v>
      </c>
      <c r="P170" s="35">
        <f t="shared" si="27"/>
        <v>3.9490445859872612</v>
      </c>
      <c r="Q170" s="35">
        <f t="shared" si="28"/>
        <v>3.6950829211521673E-2</v>
      </c>
      <c r="R170" s="35">
        <f t="shared" si="29"/>
        <v>0</v>
      </c>
      <c r="S170" s="35"/>
      <c r="T170" s="35"/>
      <c r="U170" s="35">
        <f t="shared" si="30"/>
        <v>0</v>
      </c>
      <c r="V170" s="35">
        <f t="shared" si="31"/>
        <v>0</v>
      </c>
    </row>
    <row r="171" spans="1:35" ht="16" x14ac:dyDescent="0.2">
      <c r="A171" s="45" t="s">
        <v>913</v>
      </c>
      <c r="B171" t="s">
        <v>905</v>
      </c>
      <c r="C171" t="s">
        <v>904</v>
      </c>
      <c r="D171" s="631">
        <f>SUM(AD171:AE171)</f>
        <v>1952245.2339999999</v>
      </c>
      <c r="E171" s="631">
        <f>SUM(AF171:AG171)</f>
        <v>0</v>
      </c>
      <c r="F171" s="631">
        <f>SUM(AH171:AI171)</f>
        <v>0</v>
      </c>
      <c r="G171" s="631">
        <f>SUM(X171:Y171)</f>
        <v>9916855.1899999995</v>
      </c>
      <c r="H171" s="631">
        <f>SUM(Z171:AA171)</f>
        <v>1438649.527</v>
      </c>
      <c r="I171" s="631">
        <f>SUM(AB171:AC171)</f>
        <v>564377.35800000001</v>
      </c>
      <c r="J171" s="104">
        <v>116860514.215</v>
      </c>
      <c r="K171" s="104">
        <v>9727835.0529999994</v>
      </c>
      <c r="L171" s="104">
        <v>8084122.3150000004</v>
      </c>
      <c r="M171" s="114">
        <f t="shared" si="24"/>
        <v>148544598.89199999</v>
      </c>
      <c r="N171" s="35">
        <f t="shared" si="25"/>
        <v>90.661304811839187</v>
      </c>
      <c r="O171" s="35">
        <f t="shared" si="26"/>
        <v>8.024446640208307</v>
      </c>
      <c r="P171" s="35">
        <f t="shared" si="27"/>
        <v>1.3142485479525168</v>
      </c>
      <c r="Q171" s="35">
        <f t="shared" si="28"/>
        <v>0.19228933262014117</v>
      </c>
      <c r="R171" s="35">
        <f t="shared" si="29"/>
        <v>0.21538839284196526</v>
      </c>
      <c r="S171" s="35">
        <f t="shared" ref="S131:S194" si="32">(Z171+(2*AB171))/SUM(X171,Z171,AB171)</f>
        <v>0.21627054984507249</v>
      </c>
      <c r="T171" s="35">
        <f t="shared" ref="T131:T194" si="33">(AA171+(2*AC171))/SUM(Y171,AA171,AC171)</f>
        <v>0.21013353249552907</v>
      </c>
      <c r="U171" s="35">
        <f t="shared" si="30"/>
        <v>0.14374360586952367</v>
      </c>
      <c r="V171" s="35">
        <f t="shared" si="31"/>
        <v>0.68887374115623012</v>
      </c>
      <c r="X171" s="104">
        <v>8563492.5889999997</v>
      </c>
      <c r="Y171" s="104">
        <v>1353362.601</v>
      </c>
      <c r="Z171" s="104">
        <v>1078605.297</v>
      </c>
      <c r="AA171" s="104">
        <v>360044.23</v>
      </c>
      <c r="AB171" s="104">
        <v>564377.35800000001</v>
      </c>
      <c r="AC171" s="104">
        <v>0</v>
      </c>
      <c r="AD171" s="104">
        <v>607394.75600000005</v>
      </c>
      <c r="AE171" s="104">
        <v>1344850.4779999999</v>
      </c>
      <c r="AF171" s="104">
        <v>0</v>
      </c>
      <c r="AG171" s="104">
        <v>0</v>
      </c>
      <c r="AH171" s="104">
        <v>0</v>
      </c>
      <c r="AI171" s="104">
        <v>0</v>
      </c>
    </row>
    <row r="172" spans="1:35" ht="16" x14ac:dyDescent="0.2">
      <c r="A172" s="45" t="s">
        <v>913</v>
      </c>
      <c r="B172" t="s">
        <v>905</v>
      </c>
      <c r="C172" t="s">
        <v>904</v>
      </c>
      <c r="D172" s="631">
        <f t="shared" ref="D172:D206" si="34">SUM(AD172:AE172)</f>
        <v>1259302.841</v>
      </c>
      <c r="E172" s="631">
        <f t="shared" ref="E172:E206" si="35">SUM(AF172:AG172)</f>
        <v>0</v>
      </c>
      <c r="F172" s="631">
        <f t="shared" ref="F172:F206" si="36">SUM(AH172:AI172)</f>
        <v>0</v>
      </c>
      <c r="G172" s="631">
        <f t="shared" ref="G172:G206" si="37">SUM(X172:Y172)</f>
        <v>9153312.074000001</v>
      </c>
      <c r="H172" s="631">
        <f t="shared" ref="H172:H206" si="38">SUM(Z172:AA172)</f>
        <v>1458490.273</v>
      </c>
      <c r="I172" s="631">
        <f t="shared" ref="I172:I206" si="39">SUM(AB172:AC172)</f>
        <v>669176.08499999996</v>
      </c>
      <c r="J172" s="104">
        <v>106288710.89399999</v>
      </c>
      <c r="K172" s="104">
        <v>10196012.856000001</v>
      </c>
      <c r="L172" s="104">
        <v>7225999.2690000003</v>
      </c>
      <c r="M172" s="114">
        <f t="shared" si="24"/>
        <v>136251004.292</v>
      </c>
      <c r="N172" s="35">
        <f t="shared" si="25"/>
        <v>90.796191677145458</v>
      </c>
      <c r="O172" s="35">
        <f t="shared" si="26"/>
        <v>8.2795561695998199</v>
      </c>
      <c r="P172" s="35">
        <f t="shared" si="27"/>
        <v>0.92425215325472665</v>
      </c>
      <c r="Q172" s="35">
        <f t="shared" si="28"/>
        <v>0.19923908609130397</v>
      </c>
      <c r="R172" s="35">
        <f t="shared" si="29"/>
        <v>0.24792551992355408</v>
      </c>
      <c r="S172" s="35">
        <f t="shared" si="32"/>
        <v>0.24818988411321047</v>
      </c>
      <c r="T172" s="35">
        <f t="shared" si="33"/>
        <v>0.2463408820364946</v>
      </c>
      <c r="U172" s="35">
        <f t="shared" si="30"/>
        <v>0.14297668617331508</v>
      </c>
      <c r="V172" s="35">
        <f t="shared" si="31"/>
        <v>0.6278907894562592</v>
      </c>
      <c r="X172" s="104">
        <v>7937722.5360000003</v>
      </c>
      <c r="Y172" s="104">
        <v>1215589.5379999999</v>
      </c>
      <c r="Z172" s="104">
        <v>1061162.898</v>
      </c>
      <c r="AA172" s="104">
        <v>397327.375</v>
      </c>
      <c r="AB172" s="104">
        <v>669176.08499999996</v>
      </c>
      <c r="AC172" s="104">
        <v>0</v>
      </c>
      <c r="AD172" s="104">
        <v>468598.18599999999</v>
      </c>
      <c r="AE172" s="104">
        <v>790704.65500000003</v>
      </c>
      <c r="AF172" s="104">
        <v>0</v>
      </c>
      <c r="AG172" s="104">
        <v>0</v>
      </c>
      <c r="AH172" s="104">
        <v>0</v>
      </c>
      <c r="AI172" s="104">
        <v>0</v>
      </c>
    </row>
    <row r="173" spans="1:35" ht="16" x14ac:dyDescent="0.2">
      <c r="A173" s="45" t="s">
        <v>913</v>
      </c>
      <c r="B173" t="s">
        <v>905</v>
      </c>
      <c r="C173" t="s">
        <v>904</v>
      </c>
      <c r="D173" s="631">
        <f t="shared" si="34"/>
        <v>1318426.2790000001</v>
      </c>
      <c r="E173" s="631">
        <f t="shared" si="35"/>
        <v>0</v>
      </c>
      <c r="F173" s="631">
        <f t="shared" si="36"/>
        <v>0</v>
      </c>
      <c r="G173" s="631">
        <f t="shared" si="37"/>
        <v>8868458.7919999994</v>
      </c>
      <c r="H173" s="631">
        <f t="shared" si="38"/>
        <v>1404781.0550000002</v>
      </c>
      <c r="I173" s="631">
        <f t="shared" si="39"/>
        <v>669287.255</v>
      </c>
      <c r="J173" s="104">
        <v>157860748.486</v>
      </c>
      <c r="K173" s="104">
        <v>17616356.673999999</v>
      </c>
      <c r="L173" s="104">
        <v>13107611.111</v>
      </c>
      <c r="M173" s="114">
        <f t="shared" si="24"/>
        <v>200845669.65200001</v>
      </c>
      <c r="N173" s="35">
        <f t="shared" si="25"/>
        <v>93.895335955092165</v>
      </c>
      <c r="O173" s="35">
        <f t="shared" si="26"/>
        <v>5.4482265517398645</v>
      </c>
      <c r="P173" s="35">
        <f t="shared" si="27"/>
        <v>0.65643749316796451</v>
      </c>
      <c r="Q173" s="35">
        <f t="shared" si="28"/>
        <v>0.2324238133540639</v>
      </c>
      <c r="R173" s="35">
        <f t="shared" si="29"/>
        <v>0.25070585061640732</v>
      </c>
      <c r="S173" s="35">
        <f t="shared" si="32"/>
        <v>0.26592138700856421</v>
      </c>
      <c r="T173" s="35">
        <f t="shared" si="33"/>
        <v>0.17787541352573108</v>
      </c>
      <c r="U173" s="35">
        <f t="shared" si="30"/>
        <v>0.17281354036165675</v>
      </c>
      <c r="V173" s="35">
        <f t="shared" si="31"/>
        <v>0.77032277282149042</v>
      </c>
      <c r="X173" s="104">
        <v>7313807.3470000001</v>
      </c>
      <c r="Y173" s="104">
        <v>1554651.4450000001</v>
      </c>
      <c r="Z173" s="104">
        <v>1068415.6510000001</v>
      </c>
      <c r="AA173" s="104">
        <v>336365.40399999998</v>
      </c>
      <c r="AB173" s="104">
        <v>669287.255</v>
      </c>
      <c r="AC173" s="104">
        <v>0</v>
      </c>
      <c r="AD173" s="104">
        <v>302812.49200000003</v>
      </c>
      <c r="AE173" s="104">
        <v>1015613.787</v>
      </c>
      <c r="AF173" s="104">
        <v>0</v>
      </c>
      <c r="AG173" s="104">
        <v>0</v>
      </c>
      <c r="AH173" s="104">
        <v>0</v>
      </c>
      <c r="AI173" s="104">
        <v>0</v>
      </c>
    </row>
    <row r="174" spans="1:35" ht="16" x14ac:dyDescent="0.2">
      <c r="A174" s="45" t="s">
        <v>913</v>
      </c>
      <c r="B174" t="s">
        <v>905</v>
      </c>
      <c r="C174" t="s">
        <v>904</v>
      </c>
      <c r="D174" s="631">
        <f t="shared" si="34"/>
        <v>744617.00200000009</v>
      </c>
      <c r="E174" s="631">
        <f t="shared" si="35"/>
        <v>0</v>
      </c>
      <c r="F174" s="631">
        <f t="shared" si="36"/>
        <v>0</v>
      </c>
      <c r="G174" s="631">
        <f t="shared" si="37"/>
        <v>5309596.8739999998</v>
      </c>
      <c r="H174" s="631">
        <f t="shared" si="38"/>
        <v>760103.02400000009</v>
      </c>
      <c r="I174" s="631">
        <f t="shared" si="39"/>
        <v>370376.32400000002</v>
      </c>
      <c r="J174" s="104">
        <v>116377583.362</v>
      </c>
      <c r="K174" s="104">
        <v>12591127.554</v>
      </c>
      <c r="L174" s="104">
        <v>9189100.9979999997</v>
      </c>
      <c r="M174" s="114">
        <f t="shared" si="24"/>
        <v>145342505.13800001</v>
      </c>
      <c r="N174" s="35">
        <f t="shared" si="25"/>
        <v>95.056715709435252</v>
      </c>
      <c r="O174" s="35">
        <f t="shared" si="26"/>
        <v>4.4309654741985272</v>
      </c>
      <c r="P174" s="35">
        <f t="shared" si="27"/>
        <v>0.51231881636621035</v>
      </c>
      <c r="Q174" s="35">
        <f t="shared" si="28"/>
        <v>0.22415909112166366</v>
      </c>
      <c r="R174" s="35">
        <f t="shared" si="29"/>
        <v>0.23304936467567172</v>
      </c>
      <c r="S174" s="35">
        <f t="shared" si="32"/>
        <v>0.25097752545010527</v>
      </c>
      <c r="T174" s="35">
        <f t="shared" si="33"/>
        <v>0.14820421719281465</v>
      </c>
      <c r="U174" s="35">
        <f t="shared" si="30"/>
        <v>0.1744437449610049</v>
      </c>
      <c r="V174" s="35">
        <f t="shared" si="31"/>
        <v>0.76660931387113285</v>
      </c>
      <c r="X174" s="104">
        <v>4352663.074</v>
      </c>
      <c r="Y174" s="104">
        <v>956933.8</v>
      </c>
      <c r="Z174" s="104">
        <v>593605.81000000006</v>
      </c>
      <c r="AA174" s="104">
        <v>166497.21400000001</v>
      </c>
      <c r="AB174" s="104">
        <v>370376.32400000002</v>
      </c>
      <c r="AC174" s="104">
        <v>0</v>
      </c>
      <c r="AD174" s="104">
        <v>173786.67300000001</v>
      </c>
      <c r="AE174" s="104">
        <v>570830.32900000003</v>
      </c>
      <c r="AF174" s="104">
        <v>0</v>
      </c>
      <c r="AG174" s="104">
        <v>0</v>
      </c>
      <c r="AH174" s="104">
        <v>0</v>
      </c>
      <c r="AI174" s="104">
        <v>0</v>
      </c>
    </row>
    <row r="175" spans="1:35" ht="16" x14ac:dyDescent="0.2">
      <c r="A175" s="45" t="s">
        <v>913</v>
      </c>
      <c r="B175" t="s">
        <v>905</v>
      </c>
      <c r="C175" t="s">
        <v>904</v>
      </c>
      <c r="D175" s="631">
        <f t="shared" si="34"/>
        <v>830545.75199999998</v>
      </c>
      <c r="E175" s="631">
        <f t="shared" si="35"/>
        <v>0</v>
      </c>
      <c r="F175" s="631">
        <f t="shared" si="36"/>
        <v>0</v>
      </c>
      <c r="G175" s="631">
        <f t="shared" si="37"/>
        <v>4905347.3590000002</v>
      </c>
      <c r="H175" s="631">
        <f t="shared" si="38"/>
        <v>789976.87</v>
      </c>
      <c r="I175" s="631">
        <f t="shared" si="39"/>
        <v>331157.13900000002</v>
      </c>
      <c r="J175" s="104">
        <v>109050747.90899999</v>
      </c>
      <c r="K175" s="104">
        <v>9818067.5010000002</v>
      </c>
      <c r="L175" s="104">
        <v>7371637.9560000002</v>
      </c>
      <c r="M175" s="114">
        <f t="shared" si="24"/>
        <v>133097480.486</v>
      </c>
      <c r="N175" s="35">
        <f t="shared" si="25"/>
        <v>94.848116512076828</v>
      </c>
      <c r="O175" s="35">
        <f t="shared" si="26"/>
        <v>4.5278703593746101</v>
      </c>
      <c r="P175" s="35">
        <f t="shared" si="27"/>
        <v>0.62401312854856161</v>
      </c>
      <c r="Q175" s="35">
        <f t="shared" si="28"/>
        <v>0.19456000638552082</v>
      </c>
      <c r="R175" s="35">
        <f t="shared" si="29"/>
        <v>0.2409849229289113</v>
      </c>
      <c r="S175" s="35">
        <f t="shared" si="32"/>
        <v>0.24745360827009266</v>
      </c>
      <c r="T175" s="35">
        <f t="shared" si="33"/>
        <v>0.20741717452027664</v>
      </c>
      <c r="U175" s="35">
        <f t="shared" si="30"/>
        <v>0.16156996853424935</v>
      </c>
      <c r="V175" s="35">
        <f t="shared" si="31"/>
        <v>0.80024901265162329</v>
      </c>
      <c r="X175" s="104">
        <v>4133610.7259999998</v>
      </c>
      <c r="Y175" s="104">
        <v>771736.63300000003</v>
      </c>
      <c r="Z175" s="104">
        <v>588015.098</v>
      </c>
      <c r="AA175" s="104">
        <v>201961.772</v>
      </c>
      <c r="AB175" s="104">
        <v>331157.13900000002</v>
      </c>
      <c r="AC175" s="104">
        <v>0</v>
      </c>
      <c r="AD175" s="104">
        <v>165902.334</v>
      </c>
      <c r="AE175" s="104">
        <v>664643.41799999995</v>
      </c>
      <c r="AF175" s="104">
        <v>0</v>
      </c>
      <c r="AG175" s="104">
        <v>0</v>
      </c>
      <c r="AH175" s="104">
        <v>0</v>
      </c>
      <c r="AI175" s="104">
        <v>0</v>
      </c>
    </row>
    <row r="176" spans="1:35" ht="16" x14ac:dyDescent="0.2">
      <c r="A176" s="45" t="s">
        <v>913</v>
      </c>
      <c r="B176" t="s">
        <v>905</v>
      </c>
      <c r="C176" t="s">
        <v>904</v>
      </c>
      <c r="D176" s="631">
        <f t="shared" si="34"/>
        <v>773864.34400000004</v>
      </c>
      <c r="E176" s="631">
        <f t="shared" si="35"/>
        <v>0</v>
      </c>
      <c r="F176" s="631">
        <f t="shared" si="36"/>
        <v>0</v>
      </c>
      <c r="G176" s="631">
        <f t="shared" si="37"/>
        <v>5446582.9979999997</v>
      </c>
      <c r="H176" s="631">
        <f t="shared" si="38"/>
        <v>945159.65100000007</v>
      </c>
      <c r="I176" s="631">
        <f t="shared" si="39"/>
        <v>427515.02799999999</v>
      </c>
      <c r="J176" s="104">
        <v>89051885.650999993</v>
      </c>
      <c r="K176" s="104">
        <v>9070478.7530000005</v>
      </c>
      <c r="L176" s="104">
        <v>6484041.4390000002</v>
      </c>
      <c r="M176" s="114">
        <f t="shared" si="24"/>
        <v>112199527.86399999</v>
      </c>
      <c r="N176" s="35">
        <f t="shared" si="25"/>
        <v>93.232483090121534</v>
      </c>
      <c r="O176" s="35">
        <f t="shared" si="26"/>
        <v>6.0777953408732719</v>
      </c>
      <c r="P176" s="35">
        <f t="shared" si="27"/>
        <v>0.68972156900519344</v>
      </c>
      <c r="Q176" s="35">
        <f t="shared" si="28"/>
        <v>0.21068080346892798</v>
      </c>
      <c r="R176" s="35">
        <f t="shared" si="29"/>
        <v>0.26398616862238272</v>
      </c>
      <c r="S176" s="35">
        <f t="shared" si="32"/>
        <v>0.28743693524109304</v>
      </c>
      <c r="T176" s="35">
        <f t="shared" si="33"/>
        <v>0.1665854874453446</v>
      </c>
      <c r="U176" s="35">
        <f t="shared" si="30"/>
        <v>0.19404621993726137</v>
      </c>
      <c r="V176" s="35">
        <f t="shared" si="31"/>
        <v>0.67416169260797465</v>
      </c>
      <c r="X176" s="104">
        <v>4343766.2649999997</v>
      </c>
      <c r="Y176" s="104">
        <v>1102816.733</v>
      </c>
      <c r="Z176" s="104">
        <v>724725.20900000003</v>
      </c>
      <c r="AA176" s="104">
        <v>220434.44200000001</v>
      </c>
      <c r="AB176" s="104">
        <v>427515.02799999999</v>
      </c>
      <c r="AC176" s="104">
        <v>0</v>
      </c>
      <c r="AD176" s="104">
        <v>252154.64799999999</v>
      </c>
      <c r="AE176" s="104">
        <v>521709.696</v>
      </c>
      <c r="AF176" s="104">
        <v>0</v>
      </c>
      <c r="AG176" s="104">
        <v>0</v>
      </c>
      <c r="AH176" s="104">
        <v>0</v>
      </c>
      <c r="AI176" s="104">
        <v>0</v>
      </c>
    </row>
    <row r="177" spans="1:35" ht="16" x14ac:dyDescent="0.2">
      <c r="A177" s="45" t="s">
        <v>913</v>
      </c>
      <c r="B177" t="s">
        <v>905</v>
      </c>
      <c r="C177" t="s">
        <v>904</v>
      </c>
      <c r="D177" s="631">
        <f t="shared" si="34"/>
        <v>849295.37000000011</v>
      </c>
      <c r="E177" s="631">
        <f t="shared" si="35"/>
        <v>0</v>
      </c>
      <c r="F177" s="631">
        <f t="shared" si="36"/>
        <v>0</v>
      </c>
      <c r="G177" s="631">
        <f t="shared" si="37"/>
        <v>7421201.6960000005</v>
      </c>
      <c r="H177" s="631">
        <f t="shared" si="38"/>
        <v>1501070.0870000001</v>
      </c>
      <c r="I177" s="631">
        <f t="shared" si="39"/>
        <v>625437.84</v>
      </c>
      <c r="J177" s="104">
        <v>208116954.366</v>
      </c>
      <c r="K177" s="104">
        <v>20528521.274999999</v>
      </c>
      <c r="L177" s="104">
        <v>11172091.714</v>
      </c>
      <c r="M177" s="114">
        <f t="shared" si="24"/>
        <v>250214572.34799999</v>
      </c>
      <c r="N177" s="35">
        <f t="shared" si="25"/>
        <v>95.844764397438936</v>
      </c>
      <c r="O177" s="35">
        <f t="shared" si="26"/>
        <v>3.8158087810013659</v>
      </c>
      <c r="P177" s="35">
        <f t="shared" si="27"/>
        <v>0.33942682155969511</v>
      </c>
      <c r="Q177" s="35">
        <f t="shared" si="28"/>
        <v>0.1787721607547452</v>
      </c>
      <c r="R177" s="35">
        <f t="shared" si="29"/>
        <v>0.28823098687152021</v>
      </c>
      <c r="S177" s="35">
        <f t="shared" si="32"/>
        <v>0.31543106404977556</v>
      </c>
      <c r="T177" s="35">
        <f t="shared" si="33"/>
        <v>0.17222980605584512</v>
      </c>
      <c r="U177" s="35">
        <f t="shared" si="30"/>
        <v>0.18994300440718379</v>
      </c>
      <c r="V177" s="35">
        <f t="shared" si="31"/>
        <v>0.7087895522143256</v>
      </c>
      <c r="X177" s="104">
        <v>5920023.3550000004</v>
      </c>
      <c r="Y177" s="104">
        <v>1501178.341</v>
      </c>
      <c r="Z177" s="104">
        <v>1188727.777</v>
      </c>
      <c r="AA177" s="104">
        <v>312342.31</v>
      </c>
      <c r="AB177" s="104">
        <v>625437.84</v>
      </c>
      <c r="AC177" s="104">
        <v>0</v>
      </c>
      <c r="AD177" s="104">
        <v>247323.685</v>
      </c>
      <c r="AE177" s="104">
        <v>601971.68500000006</v>
      </c>
      <c r="AF177" s="104">
        <v>0</v>
      </c>
      <c r="AG177" s="104">
        <v>0</v>
      </c>
      <c r="AH177" s="104">
        <v>0</v>
      </c>
      <c r="AI177" s="104">
        <v>0</v>
      </c>
    </row>
    <row r="178" spans="1:35" ht="16" x14ac:dyDescent="0.2">
      <c r="A178" s="45" t="s">
        <v>913</v>
      </c>
      <c r="B178" t="s">
        <v>905</v>
      </c>
      <c r="C178" t="s">
        <v>904</v>
      </c>
      <c r="D178" s="631">
        <f t="shared" si="34"/>
        <v>1152254.7760000001</v>
      </c>
      <c r="E178" s="631">
        <f t="shared" si="35"/>
        <v>0</v>
      </c>
      <c r="F178" s="631">
        <f t="shared" si="36"/>
        <v>0</v>
      </c>
      <c r="G178" s="631">
        <f t="shared" si="37"/>
        <v>6910292.6090000002</v>
      </c>
      <c r="H178" s="631">
        <f t="shared" si="38"/>
        <v>1403804.1800000002</v>
      </c>
      <c r="I178" s="631">
        <f t="shared" si="39"/>
        <v>610590.01500000001</v>
      </c>
      <c r="J178" s="104">
        <v>198624090.77500001</v>
      </c>
      <c r="K178" s="104">
        <v>18406001.127999999</v>
      </c>
      <c r="L178" s="104">
        <v>12726953.109999999</v>
      </c>
      <c r="M178" s="114">
        <f t="shared" si="24"/>
        <v>239833986.59299999</v>
      </c>
      <c r="N178" s="35">
        <f t="shared" si="25"/>
        <v>95.79836797813789</v>
      </c>
      <c r="O178" s="35">
        <f t="shared" si="26"/>
        <v>3.721193535070265</v>
      </c>
      <c r="P178" s="35">
        <f t="shared" si="27"/>
        <v>0.48043848679185941</v>
      </c>
      <c r="Q178" s="35">
        <f t="shared" si="28"/>
        <v>0.19089689870235899</v>
      </c>
      <c r="R178" s="35">
        <f t="shared" si="29"/>
        <v>0.29412619934444029</v>
      </c>
      <c r="S178" s="35">
        <f t="shared" si="32"/>
        <v>0.34183280374070979</v>
      </c>
      <c r="T178" s="35">
        <f t="shared" si="33"/>
        <v>0.16815042169985736</v>
      </c>
      <c r="U178" s="35">
        <f t="shared" si="30"/>
        <v>0.27467728065272728</v>
      </c>
      <c r="V178" s="35">
        <f t="shared" si="31"/>
        <v>0.75819429973011454</v>
      </c>
      <c r="X178" s="104">
        <v>4871089.3140000002</v>
      </c>
      <c r="Y178" s="104">
        <v>2039203.2949999999</v>
      </c>
      <c r="Z178" s="104">
        <v>991598.77300000004</v>
      </c>
      <c r="AA178" s="104">
        <v>412205.40700000001</v>
      </c>
      <c r="AB178" s="104">
        <v>610590.01500000001</v>
      </c>
      <c r="AC178" s="104">
        <v>0</v>
      </c>
      <c r="AD178" s="104">
        <v>278621.77299999999</v>
      </c>
      <c r="AE178" s="104">
        <v>873633.00300000003</v>
      </c>
      <c r="AF178" s="104">
        <v>0</v>
      </c>
      <c r="AG178" s="104">
        <v>0</v>
      </c>
      <c r="AH178" s="104">
        <v>0</v>
      </c>
      <c r="AI178" s="104">
        <v>0</v>
      </c>
    </row>
    <row r="179" spans="1:35" ht="16" x14ac:dyDescent="0.2">
      <c r="A179" s="45" t="s">
        <v>913</v>
      </c>
      <c r="B179" t="s">
        <v>905</v>
      </c>
      <c r="C179" t="s">
        <v>904</v>
      </c>
      <c r="D179" s="631">
        <f t="shared" si="34"/>
        <v>847380.51600000006</v>
      </c>
      <c r="E179" s="631">
        <f t="shared" si="35"/>
        <v>0</v>
      </c>
      <c r="F179" s="631">
        <f t="shared" si="36"/>
        <v>0</v>
      </c>
      <c r="G179" s="631">
        <f t="shared" si="37"/>
        <v>7448921.2649999997</v>
      </c>
      <c r="H179" s="631">
        <f t="shared" si="38"/>
        <v>1649002.0209999999</v>
      </c>
      <c r="I179" s="631">
        <f t="shared" si="39"/>
        <v>698178.64599999995</v>
      </c>
      <c r="J179" s="104">
        <v>164311114.13800001</v>
      </c>
      <c r="K179" s="104">
        <v>19746814.454999998</v>
      </c>
      <c r="L179" s="104">
        <v>11552156.313999999</v>
      </c>
      <c r="M179" s="114">
        <f t="shared" si="24"/>
        <v>206253567.35500002</v>
      </c>
      <c r="N179" s="35">
        <f t="shared" si="25"/>
        <v>94.839612917006846</v>
      </c>
      <c r="O179" s="35">
        <f t="shared" si="26"/>
        <v>4.7495430297887271</v>
      </c>
      <c r="P179" s="35">
        <f t="shared" si="27"/>
        <v>0.41084405320442458</v>
      </c>
      <c r="Q179" s="35">
        <f t="shared" si="28"/>
        <v>0.21906399715215577</v>
      </c>
      <c r="R179" s="35">
        <f t="shared" si="29"/>
        <v>0.31087460442321579</v>
      </c>
      <c r="S179" s="35">
        <f t="shared" si="32"/>
        <v>0.3474111559092492</v>
      </c>
      <c r="T179" s="35">
        <f t="shared" si="33"/>
        <v>0.1640485254837033</v>
      </c>
      <c r="U179" s="35">
        <f t="shared" si="30"/>
        <v>0.19925843887186698</v>
      </c>
      <c r="V179" s="35">
        <f t="shared" si="31"/>
        <v>0.73774133721054302</v>
      </c>
      <c r="X179" s="104">
        <v>5817180.7869999995</v>
      </c>
      <c r="Y179" s="104">
        <v>1631740.4779999999</v>
      </c>
      <c r="Z179" s="104">
        <v>1328786.5209999999</v>
      </c>
      <c r="AA179" s="104">
        <v>320215.5</v>
      </c>
      <c r="AB179" s="104">
        <v>698178.64599999995</v>
      </c>
      <c r="AC179" s="104">
        <v>0</v>
      </c>
      <c r="AD179" s="104">
        <v>222232.88099999999</v>
      </c>
      <c r="AE179" s="104">
        <v>625147.63500000001</v>
      </c>
      <c r="AF179" s="104">
        <v>0</v>
      </c>
      <c r="AG179" s="104">
        <v>0</v>
      </c>
      <c r="AH179" s="104">
        <v>0</v>
      </c>
      <c r="AI179" s="104">
        <v>0</v>
      </c>
    </row>
    <row r="180" spans="1:35" ht="16" x14ac:dyDescent="0.2">
      <c r="A180" s="45" t="s">
        <v>913</v>
      </c>
      <c r="B180" t="s">
        <v>905</v>
      </c>
      <c r="C180" t="s">
        <v>904</v>
      </c>
      <c r="D180" s="631">
        <f t="shared" si="34"/>
        <v>526729.12</v>
      </c>
      <c r="E180" s="631">
        <f t="shared" si="35"/>
        <v>0</v>
      </c>
      <c r="F180" s="631">
        <f t="shared" si="36"/>
        <v>0</v>
      </c>
      <c r="G180" s="631">
        <f t="shared" si="37"/>
        <v>4093990.923</v>
      </c>
      <c r="H180" s="631">
        <f t="shared" si="38"/>
        <v>930628.59699999995</v>
      </c>
      <c r="I180" s="631">
        <f t="shared" si="39"/>
        <v>433446.67</v>
      </c>
      <c r="J180" s="104">
        <v>88505233.656000003</v>
      </c>
      <c r="K180" s="104">
        <v>9652521.0020000003</v>
      </c>
      <c r="L180" s="104">
        <v>6915676.1799999997</v>
      </c>
      <c r="M180" s="114">
        <f t="shared" si="24"/>
        <v>111058226.148</v>
      </c>
      <c r="N180" s="35">
        <f t="shared" si="25"/>
        <v>94.611119304188733</v>
      </c>
      <c r="O180" s="35">
        <f t="shared" si="26"/>
        <v>4.9145987463606637</v>
      </c>
      <c r="P180" s="35">
        <f t="shared" si="27"/>
        <v>0.4742819494506087</v>
      </c>
      <c r="Q180" s="35">
        <f t="shared" si="28"/>
        <v>0.22349963425299152</v>
      </c>
      <c r="R180" s="35">
        <f t="shared" si="29"/>
        <v>0.32933311440842017</v>
      </c>
      <c r="S180" s="35">
        <f t="shared" si="32"/>
        <v>0.34389187246859027</v>
      </c>
      <c r="T180" s="35">
        <f t="shared" si="33"/>
        <v>0.25317783608946937</v>
      </c>
      <c r="U180" s="35">
        <f t="shared" si="30"/>
        <v>0.16049068745353562</v>
      </c>
      <c r="V180" s="35">
        <f t="shared" si="31"/>
        <v>0.74241759027866161</v>
      </c>
      <c r="X180" s="104">
        <v>3439798.0120000001</v>
      </c>
      <c r="Y180" s="104">
        <v>654192.91099999996</v>
      </c>
      <c r="Z180" s="104">
        <v>708852.71299999999</v>
      </c>
      <c r="AA180" s="104">
        <v>221775.88399999999</v>
      </c>
      <c r="AB180" s="104">
        <v>433446.67</v>
      </c>
      <c r="AC180" s="104">
        <v>0</v>
      </c>
      <c r="AD180" s="104">
        <v>135676.15599999999</v>
      </c>
      <c r="AE180" s="104">
        <v>391052.96399999998</v>
      </c>
      <c r="AF180" s="104">
        <v>0</v>
      </c>
      <c r="AG180" s="104">
        <v>0</v>
      </c>
      <c r="AH180" s="104">
        <v>0</v>
      </c>
      <c r="AI180" s="104">
        <v>0</v>
      </c>
    </row>
    <row r="181" spans="1:35" ht="16" x14ac:dyDescent="0.2">
      <c r="A181" s="45" t="s">
        <v>913</v>
      </c>
      <c r="B181" t="s">
        <v>905</v>
      </c>
      <c r="C181" t="s">
        <v>904</v>
      </c>
      <c r="D181" s="631">
        <f t="shared" si="34"/>
        <v>208494.91500000001</v>
      </c>
      <c r="E181" s="631">
        <f t="shared" si="35"/>
        <v>0</v>
      </c>
      <c r="F181" s="631">
        <f t="shared" si="36"/>
        <v>0</v>
      </c>
      <c r="G181" s="631">
        <f t="shared" si="37"/>
        <v>1985145.294</v>
      </c>
      <c r="H181" s="631">
        <f t="shared" si="38"/>
        <v>291725.31400000001</v>
      </c>
      <c r="I181" s="631">
        <f t="shared" si="39"/>
        <v>149586.5</v>
      </c>
      <c r="J181" s="104">
        <v>32322437.421999998</v>
      </c>
      <c r="K181" s="104">
        <v>3988505.693</v>
      </c>
      <c r="L181" s="104">
        <v>2630789.1970000002</v>
      </c>
      <c r="M181" s="114">
        <f t="shared" si="24"/>
        <v>41576684.334999993</v>
      </c>
      <c r="N181" s="35">
        <f t="shared" si="25"/>
        <v>93.662428678128492</v>
      </c>
      <c r="O181" s="35">
        <f t="shared" si="26"/>
        <v>5.836100561673133</v>
      </c>
      <c r="P181" s="35">
        <f t="shared" si="27"/>
        <v>0.50147076019836745</v>
      </c>
      <c r="Q181" s="35">
        <f t="shared" si="28"/>
        <v>0.23753653311795697</v>
      </c>
      <c r="R181" s="35">
        <f t="shared" si="29"/>
        <v>0.24352308229633046</v>
      </c>
      <c r="S181" s="35">
        <f t="shared" si="32"/>
        <v>0.26322705501745619</v>
      </c>
      <c r="T181" s="35">
        <f t="shared" si="33"/>
        <v>0.15258597288493014</v>
      </c>
      <c r="U181" s="35">
        <f t="shared" si="30"/>
        <v>0.17808911790580886</v>
      </c>
      <c r="V181" s="35">
        <f t="shared" si="31"/>
        <v>0.59463166763563513</v>
      </c>
      <c r="X181" s="104">
        <v>1618955.9939999999</v>
      </c>
      <c r="Y181" s="104">
        <v>366189.3</v>
      </c>
      <c r="Z181" s="104">
        <v>225789.008</v>
      </c>
      <c r="AA181" s="104">
        <v>65936.305999999997</v>
      </c>
      <c r="AB181" s="104">
        <v>149586.5</v>
      </c>
      <c r="AC181" s="104">
        <v>0</v>
      </c>
      <c r="AD181" s="104">
        <v>84517.236000000004</v>
      </c>
      <c r="AE181" s="104">
        <v>123977.679</v>
      </c>
      <c r="AF181" s="104">
        <v>0</v>
      </c>
      <c r="AG181" s="104">
        <v>0</v>
      </c>
      <c r="AH181" s="104">
        <v>0</v>
      </c>
      <c r="AI181" s="104">
        <v>0</v>
      </c>
    </row>
    <row r="182" spans="1:35" ht="16" x14ac:dyDescent="0.2">
      <c r="A182" s="45" t="s">
        <v>913</v>
      </c>
      <c r="B182" t="s">
        <v>905</v>
      </c>
      <c r="C182" t="s">
        <v>904</v>
      </c>
      <c r="D182" s="631">
        <f t="shared" si="34"/>
        <v>137997.655</v>
      </c>
      <c r="E182" s="631">
        <f t="shared" si="35"/>
        <v>0</v>
      </c>
      <c r="F182" s="631">
        <f t="shared" si="36"/>
        <v>0</v>
      </c>
      <c r="G182" s="631">
        <f t="shared" si="37"/>
        <v>1386599.889</v>
      </c>
      <c r="H182" s="631">
        <f t="shared" si="38"/>
        <v>233010.77000000002</v>
      </c>
      <c r="I182" s="631">
        <f t="shared" si="39"/>
        <v>70694.745999999999</v>
      </c>
      <c r="J182" s="104">
        <v>48274042.234999999</v>
      </c>
      <c r="K182" s="104">
        <v>5967006.2549999999</v>
      </c>
      <c r="L182" s="104">
        <v>3939454.0920000002</v>
      </c>
      <c r="M182" s="114">
        <f t="shared" si="24"/>
        <v>60008805.642000005</v>
      </c>
      <c r="N182" s="35">
        <f t="shared" si="25"/>
        <v>96.953275372772325</v>
      </c>
      <c r="O182" s="35">
        <f t="shared" si="26"/>
        <v>2.8167622849953204</v>
      </c>
      <c r="P182" s="35">
        <f t="shared" si="27"/>
        <v>0.22996234223234699</v>
      </c>
      <c r="Q182" s="35">
        <f t="shared" si="28"/>
        <v>0.2379820356396109</v>
      </c>
      <c r="R182" s="35">
        <f t="shared" si="29"/>
        <v>0.2214985888896214</v>
      </c>
      <c r="S182" s="35">
        <f t="shared" si="32"/>
        <v>0.24615191767260025</v>
      </c>
      <c r="T182" s="35">
        <f t="shared" si="33"/>
        <v>0.14949733308420773</v>
      </c>
      <c r="U182" s="35">
        <f t="shared" si="30"/>
        <v>0.25506631566382526</v>
      </c>
      <c r="V182" s="35">
        <f t="shared" si="31"/>
        <v>0.6258377361557339</v>
      </c>
      <c r="X182" s="104">
        <v>1019914.193</v>
      </c>
      <c r="Y182" s="104">
        <v>366685.696</v>
      </c>
      <c r="Z182" s="104">
        <v>168556.49400000001</v>
      </c>
      <c r="AA182" s="104">
        <v>64454.275999999998</v>
      </c>
      <c r="AB182" s="104">
        <v>70694.745999999999</v>
      </c>
      <c r="AC182" s="104">
        <v>0</v>
      </c>
      <c r="AD182" s="104">
        <v>51633.514999999999</v>
      </c>
      <c r="AE182" s="104">
        <v>86364.14</v>
      </c>
      <c r="AF182" s="104">
        <v>0</v>
      </c>
      <c r="AG182" s="104">
        <v>0</v>
      </c>
      <c r="AH182" s="104">
        <v>0</v>
      </c>
      <c r="AI182" s="104">
        <v>0</v>
      </c>
    </row>
    <row r="183" spans="1:35" ht="16" x14ac:dyDescent="0.2">
      <c r="A183" s="45" t="s">
        <v>913</v>
      </c>
      <c r="B183" t="s">
        <v>905</v>
      </c>
      <c r="C183" t="s">
        <v>904</v>
      </c>
      <c r="D183" s="631">
        <f t="shared" si="34"/>
        <v>837991.33</v>
      </c>
      <c r="E183" s="631">
        <f t="shared" si="35"/>
        <v>0</v>
      </c>
      <c r="F183" s="631">
        <f t="shared" si="36"/>
        <v>0</v>
      </c>
      <c r="G183" s="631">
        <f t="shared" si="37"/>
        <v>6357498.977</v>
      </c>
      <c r="H183" s="631">
        <f t="shared" si="38"/>
        <v>1035079.94</v>
      </c>
      <c r="I183" s="631">
        <f t="shared" si="39"/>
        <v>302220.69500000001</v>
      </c>
      <c r="J183" s="104">
        <v>146942040.87900001</v>
      </c>
      <c r="K183" s="104">
        <v>17692294.807999998</v>
      </c>
      <c r="L183" s="104">
        <v>10681288.35</v>
      </c>
      <c r="M183" s="114">
        <f t="shared" si="24"/>
        <v>183848414.979</v>
      </c>
      <c r="N183" s="35">
        <f t="shared" si="25"/>
        <v>95.358790042886881</v>
      </c>
      <c r="O183" s="35">
        <f t="shared" si="26"/>
        <v>4.1854043794062266</v>
      </c>
      <c r="P183" s="35">
        <f t="shared" si="27"/>
        <v>0.45580557770689467</v>
      </c>
      <c r="Q183" s="35">
        <f t="shared" si="28"/>
        <v>0.2227689159053933</v>
      </c>
      <c r="R183" s="35">
        <f t="shared" si="29"/>
        <v>0.21306874937239109</v>
      </c>
      <c r="S183" s="35">
        <f t="shared" si="32"/>
        <v>0.24558749971637042</v>
      </c>
      <c r="T183" s="35">
        <f t="shared" si="33"/>
        <v>0.12721770406111152</v>
      </c>
      <c r="U183" s="35">
        <f t="shared" si="30"/>
        <v>0.27472169030930188</v>
      </c>
      <c r="V183" s="35">
        <f t="shared" si="31"/>
        <v>0.64156591930372353</v>
      </c>
      <c r="X183" s="104">
        <v>4512499.733</v>
      </c>
      <c r="Y183" s="104">
        <v>1844999.2439999999</v>
      </c>
      <c r="Z183" s="104">
        <v>766150.82799999998</v>
      </c>
      <c r="AA183" s="104">
        <v>268929.11200000002</v>
      </c>
      <c r="AB183" s="104">
        <v>302220.69500000001</v>
      </c>
      <c r="AC183" s="104">
        <v>0</v>
      </c>
      <c r="AD183" s="104">
        <v>300364.652</v>
      </c>
      <c r="AE183" s="104">
        <v>537626.67799999996</v>
      </c>
      <c r="AF183" s="104">
        <v>0</v>
      </c>
      <c r="AG183" s="104">
        <v>0</v>
      </c>
      <c r="AH183" s="104">
        <v>0</v>
      </c>
      <c r="AI183" s="104">
        <v>0</v>
      </c>
    </row>
    <row r="184" spans="1:35" ht="16" x14ac:dyDescent="0.2">
      <c r="A184" s="45" t="s">
        <v>913</v>
      </c>
      <c r="B184" t="s">
        <v>905</v>
      </c>
      <c r="C184" t="s">
        <v>904</v>
      </c>
      <c r="D184" s="631">
        <f t="shared" si="34"/>
        <v>373584.60900000005</v>
      </c>
      <c r="E184" s="631">
        <f t="shared" si="35"/>
        <v>0</v>
      </c>
      <c r="F184" s="631">
        <f t="shared" si="36"/>
        <v>0</v>
      </c>
      <c r="G184" s="631">
        <f t="shared" si="37"/>
        <v>2981302.963</v>
      </c>
      <c r="H184" s="631">
        <f t="shared" si="38"/>
        <v>728983.96499999997</v>
      </c>
      <c r="I184" s="631">
        <f t="shared" si="39"/>
        <v>271270.16899999999</v>
      </c>
      <c r="J184" s="104">
        <v>97767384.890000001</v>
      </c>
      <c r="K184" s="104">
        <v>15697018.353</v>
      </c>
      <c r="L184" s="104">
        <v>10412943.688999999</v>
      </c>
      <c r="M184" s="114">
        <f t="shared" si="24"/>
        <v>128232488.638</v>
      </c>
      <c r="N184" s="35">
        <f t="shared" si="25"/>
        <v>96.603714275331157</v>
      </c>
      <c r="O184" s="35">
        <f t="shared" si="26"/>
        <v>3.1049519036005968</v>
      </c>
      <c r="P184" s="35">
        <f t="shared" si="27"/>
        <v>0.29133382106825401</v>
      </c>
      <c r="Q184" s="35">
        <f t="shared" si="28"/>
        <v>0.29483119097673705</v>
      </c>
      <c r="R184" s="35">
        <f t="shared" si="29"/>
        <v>0.3193535272815905</v>
      </c>
      <c r="S184" s="35">
        <f t="shared" si="32"/>
        <v>0.440274152513906</v>
      </c>
      <c r="T184" s="35">
        <f t="shared" si="33"/>
        <v>0.13287120022820686</v>
      </c>
      <c r="U184" s="35">
        <f t="shared" si="30"/>
        <v>0.39336195157921655</v>
      </c>
      <c r="V184" s="35">
        <f t="shared" si="31"/>
        <v>0.83169176276210022</v>
      </c>
      <c r="X184" s="104">
        <v>1623211.8459999999</v>
      </c>
      <c r="Y184" s="104">
        <v>1358091.1170000001</v>
      </c>
      <c r="Z184" s="104">
        <v>520882.01199999999</v>
      </c>
      <c r="AA184" s="104">
        <v>208101.95300000001</v>
      </c>
      <c r="AB184" s="104">
        <v>271270.16899999999</v>
      </c>
      <c r="AC184" s="104">
        <v>0</v>
      </c>
      <c r="AD184" s="104">
        <v>62877.366999999998</v>
      </c>
      <c r="AE184" s="104">
        <v>310707.24200000003</v>
      </c>
      <c r="AF184" s="104">
        <v>0</v>
      </c>
      <c r="AG184" s="104">
        <v>0</v>
      </c>
      <c r="AH184" s="104">
        <v>0</v>
      </c>
      <c r="AI184" s="104">
        <v>0</v>
      </c>
    </row>
    <row r="185" spans="1:35" ht="16" x14ac:dyDescent="0.2">
      <c r="A185" s="45" t="s">
        <v>913</v>
      </c>
      <c r="B185" t="s">
        <v>905</v>
      </c>
      <c r="C185" t="s">
        <v>904</v>
      </c>
      <c r="D185" s="631">
        <f t="shared" si="34"/>
        <v>837991.33</v>
      </c>
      <c r="E185" s="631">
        <f t="shared" si="35"/>
        <v>0</v>
      </c>
      <c r="F185" s="631">
        <f t="shared" si="36"/>
        <v>0</v>
      </c>
      <c r="G185" s="631">
        <f t="shared" si="37"/>
        <v>6357498.977</v>
      </c>
      <c r="H185" s="631">
        <f t="shared" si="38"/>
        <v>1035079.94</v>
      </c>
      <c r="I185" s="631">
        <f t="shared" si="39"/>
        <v>302220.69500000001</v>
      </c>
      <c r="J185" s="104">
        <v>196942040.87900001</v>
      </c>
      <c r="K185" s="104">
        <v>13692294.808</v>
      </c>
      <c r="L185" s="104">
        <v>10681288.35</v>
      </c>
      <c r="M185" s="114">
        <f t="shared" si="24"/>
        <v>229848414.979</v>
      </c>
      <c r="N185" s="35">
        <f t="shared" si="25"/>
        <v>96.287644209867793</v>
      </c>
      <c r="O185" s="35">
        <f t="shared" si="26"/>
        <v>3.3477714487189445</v>
      </c>
      <c r="P185" s="35">
        <f t="shared" si="27"/>
        <v>0.36458434141325824</v>
      </c>
      <c r="Q185" s="35">
        <f t="shared" si="28"/>
        <v>0.15839311689146474</v>
      </c>
      <c r="R185" s="35">
        <f t="shared" si="29"/>
        <v>0.21306874937239109</v>
      </c>
      <c r="S185" s="35">
        <f t="shared" si="32"/>
        <v>0.24558749971637042</v>
      </c>
      <c r="T185" s="35">
        <f t="shared" si="33"/>
        <v>0.12721770406111152</v>
      </c>
      <c r="U185" s="35">
        <f t="shared" si="30"/>
        <v>0.27472169030930188</v>
      </c>
      <c r="V185" s="35">
        <f t="shared" si="31"/>
        <v>0.64156591930372353</v>
      </c>
      <c r="X185" s="104">
        <v>4512499.733</v>
      </c>
      <c r="Y185" s="104">
        <v>1844999.2439999999</v>
      </c>
      <c r="Z185" s="104">
        <v>766150.82799999998</v>
      </c>
      <c r="AA185" s="104">
        <v>268929.11200000002</v>
      </c>
      <c r="AB185" s="104">
        <v>302220.69500000001</v>
      </c>
      <c r="AC185" s="104">
        <v>0</v>
      </c>
      <c r="AD185" s="104">
        <v>300364.652</v>
      </c>
      <c r="AE185" s="104">
        <v>537626.67799999996</v>
      </c>
      <c r="AF185" s="104">
        <v>0</v>
      </c>
      <c r="AG185" s="104">
        <v>0</v>
      </c>
      <c r="AH185" s="104">
        <v>0</v>
      </c>
      <c r="AI185" s="104">
        <v>0</v>
      </c>
    </row>
    <row r="186" spans="1:35" ht="16" x14ac:dyDescent="0.2">
      <c r="A186" s="45" t="s">
        <v>913</v>
      </c>
      <c r="B186" t="s">
        <v>905</v>
      </c>
      <c r="C186" t="s">
        <v>904</v>
      </c>
      <c r="D186" s="631">
        <f t="shared" si="34"/>
        <v>1156083.0079999999</v>
      </c>
      <c r="E186" s="631">
        <f t="shared" si="35"/>
        <v>0</v>
      </c>
      <c r="F186" s="631">
        <f t="shared" si="36"/>
        <v>0</v>
      </c>
      <c r="G186" s="631">
        <f t="shared" si="37"/>
        <v>9724223.4670000002</v>
      </c>
      <c r="H186" s="631">
        <f t="shared" si="38"/>
        <v>880613.58199999994</v>
      </c>
      <c r="I186" s="631">
        <f t="shared" si="39"/>
        <v>263599.97700000001</v>
      </c>
      <c r="J186" s="104">
        <v>317848768.27399999</v>
      </c>
      <c r="K186" s="104">
        <v>27252732.283</v>
      </c>
      <c r="L186" s="104">
        <v>19081122.436000001</v>
      </c>
      <c r="M186" s="114">
        <f t="shared" si="24"/>
        <v>376207143.02699995</v>
      </c>
      <c r="N186" s="35">
        <f t="shared" si="25"/>
        <v>96.80375020600367</v>
      </c>
      <c r="O186" s="35">
        <f t="shared" si="26"/>
        <v>2.8889502040156598</v>
      </c>
      <c r="P186" s="35">
        <f t="shared" si="27"/>
        <v>0.30729958998067963</v>
      </c>
      <c r="Q186" s="35">
        <f t="shared" si="28"/>
        <v>0.17962135759634351</v>
      </c>
      <c r="R186" s="35">
        <f t="shared" si="29"/>
        <v>0.12953228993572491</v>
      </c>
      <c r="S186" s="35">
        <f t="shared" si="32"/>
        <v>0.15571748664041601</v>
      </c>
      <c r="T186" s="35">
        <f t="shared" si="33"/>
        <v>8.3375566274329529E-2</v>
      </c>
      <c r="U186" s="35">
        <f t="shared" si="30"/>
        <v>0.36196435721060227</v>
      </c>
      <c r="V186" s="35">
        <f t="shared" si="31"/>
        <v>0.87271958675825478</v>
      </c>
      <c r="X186" s="104">
        <v>6118235.0240000002</v>
      </c>
      <c r="Y186" s="104">
        <v>3605988.443</v>
      </c>
      <c r="Z186" s="104">
        <v>552615.20299999998</v>
      </c>
      <c r="AA186" s="104">
        <v>327998.37900000002</v>
      </c>
      <c r="AB186" s="104">
        <v>263599.97700000001</v>
      </c>
      <c r="AC186" s="104">
        <v>0</v>
      </c>
      <c r="AD186" s="104">
        <v>147146.723</v>
      </c>
      <c r="AE186" s="104">
        <v>1008936.285</v>
      </c>
      <c r="AF186" s="104">
        <v>0</v>
      </c>
      <c r="AG186" s="104">
        <v>0</v>
      </c>
      <c r="AH186" s="104">
        <v>0</v>
      </c>
      <c r="AI186" s="104">
        <v>0</v>
      </c>
    </row>
    <row r="187" spans="1:35" ht="16" x14ac:dyDescent="0.2">
      <c r="A187" s="45" t="s">
        <v>913</v>
      </c>
      <c r="B187" t="s">
        <v>905</v>
      </c>
      <c r="C187" t="s">
        <v>904</v>
      </c>
      <c r="D187" s="631">
        <f t="shared" si="34"/>
        <v>439773.66899999999</v>
      </c>
      <c r="E187" s="631">
        <f t="shared" si="35"/>
        <v>0</v>
      </c>
      <c r="F187" s="631">
        <f t="shared" si="36"/>
        <v>0</v>
      </c>
      <c r="G187" s="631">
        <f t="shared" si="37"/>
        <v>2806864.2239999999</v>
      </c>
      <c r="H187" s="631">
        <f t="shared" si="38"/>
        <v>366517.87900000002</v>
      </c>
      <c r="I187" s="631">
        <f t="shared" si="39"/>
        <v>180879.245</v>
      </c>
      <c r="J187" s="104">
        <v>70073318.373999998</v>
      </c>
      <c r="K187" s="104">
        <v>7005513.3890000004</v>
      </c>
      <c r="L187" s="104">
        <v>4686223.7220000001</v>
      </c>
      <c r="M187" s="114">
        <f t="shared" si="24"/>
        <v>85559090.502000004</v>
      </c>
      <c r="N187" s="35">
        <f t="shared" si="25"/>
        <v>95.565596835193901</v>
      </c>
      <c r="O187" s="35">
        <f t="shared" si="26"/>
        <v>3.9204032304686458</v>
      </c>
      <c r="P187" s="35">
        <f t="shared" si="27"/>
        <v>0.51399993433745061</v>
      </c>
      <c r="Q187" s="35">
        <f t="shared" si="28"/>
        <v>0.20030513935142596</v>
      </c>
      <c r="R187" s="35">
        <f t="shared" si="29"/>
        <v>0.21711974513680618</v>
      </c>
      <c r="S187" s="35">
        <f t="shared" si="32"/>
        <v>0.25595492766733219</v>
      </c>
      <c r="T187" s="35">
        <f t="shared" si="33"/>
        <v>0.10353856911731545</v>
      </c>
      <c r="U187" s="35">
        <f t="shared" si="30"/>
        <v>0.25479668258694071</v>
      </c>
      <c r="V187" s="35">
        <f t="shared" si="31"/>
        <v>0.8462016901698588</v>
      </c>
      <c r="X187" s="104">
        <v>2040699.281</v>
      </c>
      <c r="Y187" s="104">
        <v>766164.94299999997</v>
      </c>
      <c r="Z187" s="104">
        <v>278028.158</v>
      </c>
      <c r="AA187" s="104">
        <v>88489.721000000005</v>
      </c>
      <c r="AB187" s="104">
        <v>180879.245</v>
      </c>
      <c r="AC187" s="104">
        <v>0</v>
      </c>
      <c r="AD187" s="104">
        <v>67636.447</v>
      </c>
      <c r="AE187" s="104">
        <v>372137.22200000001</v>
      </c>
      <c r="AF187" s="104">
        <v>0</v>
      </c>
      <c r="AG187" s="104">
        <v>0</v>
      </c>
      <c r="AH187" s="104">
        <v>0</v>
      </c>
      <c r="AI187" s="104">
        <v>0</v>
      </c>
    </row>
    <row r="188" spans="1:35" ht="16" x14ac:dyDescent="0.2">
      <c r="A188" s="45" t="s">
        <v>913</v>
      </c>
      <c r="B188" t="s">
        <v>905</v>
      </c>
      <c r="C188" t="s">
        <v>904</v>
      </c>
      <c r="D188" s="631">
        <f t="shared" si="34"/>
        <v>761391.09299999999</v>
      </c>
      <c r="E188" s="631">
        <f t="shared" si="35"/>
        <v>0</v>
      </c>
      <c r="F188" s="631">
        <f t="shared" si="36"/>
        <v>0</v>
      </c>
      <c r="G188" s="631">
        <f t="shared" si="37"/>
        <v>3848456.8789999997</v>
      </c>
      <c r="H188" s="631">
        <f t="shared" si="38"/>
        <v>374784.788</v>
      </c>
      <c r="I188" s="631">
        <f t="shared" si="39"/>
        <v>161001.41699999999</v>
      </c>
      <c r="J188" s="104">
        <v>88532560.946999997</v>
      </c>
      <c r="K188" s="104">
        <v>7782546.8689999999</v>
      </c>
      <c r="L188" s="104">
        <v>6031413.1390000004</v>
      </c>
      <c r="M188" s="114">
        <f t="shared" si="24"/>
        <v>107492155.132</v>
      </c>
      <c r="N188" s="35">
        <f t="shared" si="25"/>
        <v>95.213014223520602</v>
      </c>
      <c r="O188" s="35">
        <f t="shared" si="26"/>
        <v>4.0786633020950829</v>
      </c>
      <c r="P188" s="35">
        <f t="shared" si="27"/>
        <v>0.70832247438430673</v>
      </c>
      <c r="Q188" s="35">
        <f t="shared" si="28"/>
        <v>0.19390373958803805</v>
      </c>
      <c r="R188" s="35">
        <f t="shared" si="29"/>
        <v>0.1589299700426921</v>
      </c>
      <c r="S188" s="35">
        <f t="shared" si="32"/>
        <v>0.18875521426314909</v>
      </c>
      <c r="T188" s="35">
        <f t="shared" si="33"/>
        <v>9.6798052851222324E-2</v>
      </c>
      <c r="U188" s="35">
        <f t="shared" si="30"/>
        <v>0.32433846111074799</v>
      </c>
      <c r="V188" s="35">
        <f t="shared" si="31"/>
        <v>0.84435063518663989</v>
      </c>
      <c r="X188" s="104">
        <v>2564122.9890000001</v>
      </c>
      <c r="Y188" s="104">
        <v>1284333.8899999999</v>
      </c>
      <c r="Z188" s="104">
        <v>237140.02299999999</v>
      </c>
      <c r="AA188" s="104">
        <v>137644.76500000001</v>
      </c>
      <c r="AB188" s="104">
        <v>161001.41699999999</v>
      </c>
      <c r="AC188" s="104">
        <v>0</v>
      </c>
      <c r="AD188" s="104">
        <v>118510.04</v>
      </c>
      <c r="AE188" s="104">
        <v>642881.05299999996</v>
      </c>
      <c r="AF188" s="104">
        <v>0</v>
      </c>
      <c r="AG188" s="104">
        <v>0</v>
      </c>
      <c r="AH188" s="104">
        <v>0</v>
      </c>
      <c r="AI188" s="104">
        <v>0</v>
      </c>
    </row>
    <row r="189" spans="1:35" ht="16" x14ac:dyDescent="0.2">
      <c r="A189" s="45" t="s">
        <v>913</v>
      </c>
      <c r="B189" t="s">
        <v>905</v>
      </c>
      <c r="C189" t="s">
        <v>904</v>
      </c>
      <c r="D189" s="631">
        <f t="shared" si="34"/>
        <v>413833.84700000001</v>
      </c>
      <c r="E189" s="631">
        <f t="shared" si="35"/>
        <v>0</v>
      </c>
      <c r="F189" s="631">
        <f t="shared" si="36"/>
        <v>0</v>
      </c>
      <c r="G189" s="631">
        <f t="shared" si="37"/>
        <v>3711998.5</v>
      </c>
      <c r="H189" s="631">
        <f t="shared" si="38"/>
        <v>494353.41499999998</v>
      </c>
      <c r="I189" s="631">
        <f t="shared" si="39"/>
        <v>201682.66899999999</v>
      </c>
      <c r="J189" s="104">
        <v>113896884.624</v>
      </c>
      <c r="K189" s="104">
        <v>12040592.495999999</v>
      </c>
      <c r="L189" s="104">
        <v>7752058.0650000004</v>
      </c>
      <c r="M189" s="114">
        <f t="shared" si="24"/>
        <v>138511403.616</v>
      </c>
      <c r="N189" s="35">
        <f t="shared" si="25"/>
        <v>96.518793178670094</v>
      </c>
      <c r="O189" s="35">
        <f t="shared" si="26"/>
        <v>3.1824344197828993</v>
      </c>
      <c r="P189" s="35">
        <f t="shared" si="27"/>
        <v>0.29877240154701346</v>
      </c>
      <c r="Q189" s="35">
        <f t="shared" si="28"/>
        <v>0.20603488962605448</v>
      </c>
      <c r="R189" s="35">
        <f t="shared" si="29"/>
        <v>0.2036551065770858</v>
      </c>
      <c r="S189" s="35">
        <f t="shared" si="32"/>
        <v>0.26147334852845355</v>
      </c>
      <c r="T189" s="35">
        <f t="shared" si="33"/>
        <v>0.1056191241380247</v>
      </c>
      <c r="U189" s="35">
        <f t="shared" si="30"/>
        <v>0.37097641836468864</v>
      </c>
      <c r="V189" s="35">
        <f t="shared" si="31"/>
        <v>0.73974295534120482</v>
      </c>
      <c r="X189" s="104">
        <v>2249438.13</v>
      </c>
      <c r="Y189" s="104">
        <v>1462560.37</v>
      </c>
      <c r="Z189" s="104">
        <v>321636.90299999999</v>
      </c>
      <c r="AA189" s="104">
        <v>172716.51199999999</v>
      </c>
      <c r="AB189" s="104">
        <v>201682.66899999999</v>
      </c>
      <c r="AC189" s="104">
        <v>0</v>
      </c>
      <c r="AD189" s="104">
        <v>107703.174</v>
      </c>
      <c r="AE189" s="104">
        <v>306130.67300000001</v>
      </c>
      <c r="AF189" s="104">
        <v>0</v>
      </c>
      <c r="AG189" s="104">
        <v>0</v>
      </c>
      <c r="AH189" s="104">
        <v>0</v>
      </c>
      <c r="AI189" s="104">
        <v>0</v>
      </c>
    </row>
    <row r="190" spans="1:35" ht="16" x14ac:dyDescent="0.2">
      <c r="A190" s="45" t="s">
        <v>913</v>
      </c>
      <c r="B190" t="s">
        <v>905</v>
      </c>
      <c r="C190" t="s">
        <v>904</v>
      </c>
      <c r="D190" s="631">
        <f t="shared" si="34"/>
        <v>1001456.5079999999</v>
      </c>
      <c r="E190" s="631">
        <f t="shared" si="35"/>
        <v>0</v>
      </c>
      <c r="F190" s="631">
        <f t="shared" si="36"/>
        <v>0</v>
      </c>
      <c r="G190" s="631">
        <f t="shared" si="37"/>
        <v>5154843.5970000001</v>
      </c>
      <c r="H190" s="631">
        <f t="shared" si="38"/>
        <v>439274.815</v>
      </c>
      <c r="I190" s="631">
        <f t="shared" si="39"/>
        <v>192381.34899999999</v>
      </c>
      <c r="J190" s="104">
        <v>89698695.871000007</v>
      </c>
      <c r="K190" s="104">
        <v>10568030.029999999</v>
      </c>
      <c r="L190" s="104">
        <v>8101329.7819999997</v>
      </c>
      <c r="M190" s="114">
        <f t="shared" si="24"/>
        <v>115156011.95200002</v>
      </c>
      <c r="N190" s="35">
        <f t="shared" si="25"/>
        <v>94.105426061620307</v>
      </c>
      <c r="O190" s="35">
        <f t="shared" si="26"/>
        <v>5.0249219844570181</v>
      </c>
      <c r="P190" s="35">
        <f t="shared" si="27"/>
        <v>0.86965195392267725</v>
      </c>
      <c r="Q190" s="35">
        <f t="shared" si="28"/>
        <v>0.24703487965411183</v>
      </c>
      <c r="R190" s="35">
        <f t="shared" si="29"/>
        <v>0.1424069034883349</v>
      </c>
      <c r="S190" s="35">
        <f t="shared" si="32"/>
        <v>0.16316268643201803</v>
      </c>
      <c r="T190" s="35">
        <f t="shared" si="33"/>
        <v>0.10575743616152189</v>
      </c>
      <c r="U190" s="35">
        <f t="shared" si="30"/>
        <v>0.36156593422868022</v>
      </c>
      <c r="V190" s="35">
        <f t="shared" si="31"/>
        <v>0.84323647832343018</v>
      </c>
      <c r="X190" s="104">
        <v>3283908.2390000001</v>
      </c>
      <c r="Y190" s="104">
        <v>1870935.358</v>
      </c>
      <c r="Z190" s="104">
        <v>218008.981</v>
      </c>
      <c r="AA190" s="104">
        <v>221265.834</v>
      </c>
      <c r="AB190" s="104">
        <v>192381.34899999999</v>
      </c>
      <c r="AC190" s="104">
        <v>0</v>
      </c>
      <c r="AD190" s="104">
        <v>156991.84899999999</v>
      </c>
      <c r="AE190" s="104">
        <v>844464.65899999999</v>
      </c>
      <c r="AF190" s="104">
        <v>0</v>
      </c>
      <c r="AG190" s="104">
        <v>0</v>
      </c>
      <c r="AH190" s="104">
        <v>0</v>
      </c>
      <c r="AI190" s="104">
        <v>0</v>
      </c>
    </row>
    <row r="191" spans="1:35" ht="16" x14ac:dyDescent="0.2">
      <c r="A191" s="45" t="s">
        <v>913</v>
      </c>
      <c r="B191" t="s">
        <v>905</v>
      </c>
      <c r="C191" t="s">
        <v>904</v>
      </c>
      <c r="D191" s="631">
        <f t="shared" si="34"/>
        <v>226690.17200000002</v>
      </c>
      <c r="E191" s="631">
        <f t="shared" si="35"/>
        <v>0</v>
      </c>
      <c r="F191" s="631">
        <f t="shared" si="36"/>
        <v>0</v>
      </c>
      <c r="G191" s="631">
        <f t="shared" si="37"/>
        <v>1675687.287</v>
      </c>
      <c r="H191" s="631">
        <f t="shared" si="38"/>
        <v>173724.62599999999</v>
      </c>
      <c r="I191" s="631">
        <f t="shared" si="39"/>
        <v>75016.987999999998</v>
      </c>
      <c r="J191" s="104">
        <v>37567532.262000002</v>
      </c>
      <c r="K191" s="104">
        <v>3261852.139</v>
      </c>
      <c r="L191" s="104">
        <v>2385905.1239999998</v>
      </c>
      <c r="M191" s="114">
        <f t="shared" si="24"/>
        <v>45366408.597999997</v>
      </c>
      <c r="N191" s="35">
        <f t="shared" si="25"/>
        <v>95.258343916836225</v>
      </c>
      <c r="O191" s="35">
        <f t="shared" si="26"/>
        <v>4.2419688057141895</v>
      </c>
      <c r="P191" s="35">
        <f t="shared" si="27"/>
        <v>0.49968727744958369</v>
      </c>
      <c r="Q191" s="35">
        <f t="shared" si="28"/>
        <v>0.18589861309045574</v>
      </c>
      <c r="R191" s="35">
        <f t="shared" si="29"/>
        <v>0.16823619819457283</v>
      </c>
      <c r="S191" s="35">
        <f t="shared" si="32"/>
        <v>0.20619249116130398</v>
      </c>
      <c r="T191" s="35">
        <f t="shared" si="33"/>
        <v>8.5535713489589896E-2</v>
      </c>
      <c r="U191" s="35">
        <f t="shared" si="30"/>
        <v>0.31458069491963014</v>
      </c>
      <c r="V191" s="35">
        <f t="shared" si="31"/>
        <v>0.79130898096455626</v>
      </c>
      <c r="X191" s="104">
        <v>1122081.416</v>
      </c>
      <c r="Y191" s="104">
        <v>553605.87100000004</v>
      </c>
      <c r="Z191" s="104">
        <v>121942.31600000001</v>
      </c>
      <c r="AA191" s="104">
        <v>51782.31</v>
      </c>
      <c r="AB191" s="104">
        <v>75016.987999999998</v>
      </c>
      <c r="AC191" s="104">
        <v>0</v>
      </c>
      <c r="AD191" s="104">
        <v>47308.203000000001</v>
      </c>
      <c r="AE191" s="104">
        <v>179381.96900000001</v>
      </c>
      <c r="AF191" s="104">
        <v>0</v>
      </c>
      <c r="AG191" s="104">
        <v>0</v>
      </c>
      <c r="AH191" s="104">
        <v>0</v>
      </c>
      <c r="AI191" s="104">
        <v>0</v>
      </c>
    </row>
    <row r="192" spans="1:35" ht="16" x14ac:dyDescent="0.2">
      <c r="A192" s="45" t="s">
        <v>913</v>
      </c>
      <c r="B192" t="s">
        <v>905</v>
      </c>
      <c r="C192" t="s">
        <v>904</v>
      </c>
      <c r="D192" s="631">
        <f t="shared" si="34"/>
        <v>235842.24100000001</v>
      </c>
      <c r="E192" s="631">
        <f t="shared" si="35"/>
        <v>0</v>
      </c>
      <c r="F192" s="631">
        <f t="shared" si="36"/>
        <v>0</v>
      </c>
      <c r="G192" s="631">
        <f t="shared" si="37"/>
        <v>2184196.1430000002</v>
      </c>
      <c r="H192" s="631">
        <f t="shared" si="38"/>
        <v>206837.03599999999</v>
      </c>
      <c r="I192" s="631">
        <f t="shared" si="39"/>
        <v>72047.812999999995</v>
      </c>
      <c r="J192" s="104">
        <v>52163567.343000002</v>
      </c>
      <c r="K192" s="104">
        <v>4181650.7480000001</v>
      </c>
      <c r="L192" s="104">
        <v>3043120.997</v>
      </c>
      <c r="M192" s="114">
        <f t="shared" si="24"/>
        <v>62087262.32100001</v>
      </c>
      <c r="N192" s="35">
        <f t="shared" si="25"/>
        <v>95.653016203152617</v>
      </c>
      <c r="O192" s="35">
        <f t="shared" si="26"/>
        <v>3.9671277165765817</v>
      </c>
      <c r="P192" s="35">
        <f t="shared" si="27"/>
        <v>0.37985608027080009</v>
      </c>
      <c r="Q192" s="35">
        <f t="shared" si="28"/>
        <v>0.17289408829543657</v>
      </c>
      <c r="R192" s="35">
        <f t="shared" si="29"/>
        <v>0.14247711022894369</v>
      </c>
      <c r="S192" s="35">
        <f t="shared" si="32"/>
        <v>0.17509766916699959</v>
      </c>
      <c r="T192" s="35">
        <f t="shared" si="33"/>
        <v>7.7900641733711751E-2</v>
      </c>
      <c r="U192" s="35">
        <f t="shared" si="30"/>
        <v>0.33561272190597946</v>
      </c>
      <c r="V192" s="35">
        <f t="shared" si="31"/>
        <v>0.77476829945828063</v>
      </c>
      <c r="X192" s="104">
        <v>1421950.716</v>
      </c>
      <c r="Y192" s="104">
        <v>762245.42700000003</v>
      </c>
      <c r="Z192" s="104">
        <v>142441.147</v>
      </c>
      <c r="AA192" s="104">
        <v>64395.889000000003</v>
      </c>
      <c r="AB192" s="104">
        <v>72047.812999999995</v>
      </c>
      <c r="AC192" s="104">
        <v>0</v>
      </c>
      <c r="AD192" s="104">
        <v>53119.148999999998</v>
      </c>
      <c r="AE192" s="104">
        <v>182723.092</v>
      </c>
      <c r="AF192" s="104">
        <v>0</v>
      </c>
      <c r="AG192" s="104">
        <v>0</v>
      </c>
      <c r="AH192" s="104">
        <v>0</v>
      </c>
      <c r="AI192" s="104">
        <v>0</v>
      </c>
    </row>
    <row r="193" spans="1:35" ht="16" x14ac:dyDescent="0.2">
      <c r="A193" s="45" t="s">
        <v>913</v>
      </c>
      <c r="B193" t="s">
        <v>905</v>
      </c>
      <c r="C193" t="s">
        <v>904</v>
      </c>
      <c r="D193" s="631">
        <f t="shared" si="34"/>
        <v>443855.71100000001</v>
      </c>
      <c r="E193" s="631">
        <f t="shared" si="35"/>
        <v>0</v>
      </c>
      <c r="F193" s="631">
        <f t="shared" si="36"/>
        <v>0</v>
      </c>
      <c r="G193" s="631">
        <f t="shared" si="37"/>
        <v>3080822.5489999996</v>
      </c>
      <c r="H193" s="631">
        <f t="shared" si="38"/>
        <v>373039.21400000004</v>
      </c>
      <c r="I193" s="631">
        <f t="shared" si="39"/>
        <v>131132.9</v>
      </c>
      <c r="J193" s="104">
        <v>70771844.533000007</v>
      </c>
      <c r="K193" s="104">
        <v>6947349.6059999997</v>
      </c>
      <c r="L193" s="104">
        <v>4766240.4460000005</v>
      </c>
      <c r="M193" s="114">
        <f t="shared" si="24"/>
        <v>86514284.959000006</v>
      </c>
      <c r="N193" s="35">
        <f t="shared" si="25"/>
        <v>95.343138562713307</v>
      </c>
      <c r="O193" s="35">
        <f t="shared" si="26"/>
        <v>4.1438181737258359</v>
      </c>
      <c r="P193" s="35">
        <f t="shared" si="27"/>
        <v>0.51304326356086483</v>
      </c>
      <c r="Q193" s="35">
        <f t="shared" si="28"/>
        <v>0.19979079434948943</v>
      </c>
      <c r="R193" s="35">
        <f t="shared" si="29"/>
        <v>0.17721226214277352</v>
      </c>
      <c r="S193" s="35">
        <f t="shared" si="32"/>
        <v>0.21562717457967767</v>
      </c>
      <c r="T193" s="35">
        <f t="shared" si="33"/>
        <v>0.10539992088435708</v>
      </c>
      <c r="U193" s="35">
        <f t="shared" si="30"/>
        <v>0.34850648228147729</v>
      </c>
      <c r="V193" s="35">
        <f t="shared" si="31"/>
        <v>0.7828473249046467</v>
      </c>
      <c r="X193" s="104">
        <v>1963114.686</v>
      </c>
      <c r="Y193" s="104">
        <v>1117707.8629999999</v>
      </c>
      <c r="Z193" s="104">
        <v>241353.198</v>
      </c>
      <c r="AA193" s="104">
        <v>131686.016</v>
      </c>
      <c r="AB193" s="104">
        <v>131132.9</v>
      </c>
      <c r="AC193" s="104">
        <v>0</v>
      </c>
      <c r="AD193" s="104">
        <v>96384.455000000002</v>
      </c>
      <c r="AE193" s="104">
        <v>347471.25599999999</v>
      </c>
      <c r="AF193" s="104">
        <v>0</v>
      </c>
      <c r="AG193" s="104">
        <v>0</v>
      </c>
      <c r="AH193" s="104">
        <v>0</v>
      </c>
      <c r="AI193" s="104">
        <v>0</v>
      </c>
    </row>
    <row r="194" spans="1:35" ht="16" x14ac:dyDescent="0.2">
      <c r="A194" s="45" t="s">
        <v>913</v>
      </c>
      <c r="B194" t="s">
        <v>905</v>
      </c>
      <c r="C194" t="s">
        <v>904</v>
      </c>
      <c r="D194" s="631">
        <f t="shared" si="34"/>
        <v>388545.71600000001</v>
      </c>
      <c r="E194" s="631">
        <f t="shared" si="35"/>
        <v>0</v>
      </c>
      <c r="F194" s="631">
        <f t="shared" si="36"/>
        <v>0</v>
      </c>
      <c r="G194" s="631">
        <f t="shared" si="37"/>
        <v>2421789.2340000002</v>
      </c>
      <c r="H194" s="631">
        <f t="shared" si="38"/>
        <v>230011.389</v>
      </c>
      <c r="I194" s="631">
        <f t="shared" si="39"/>
        <v>97501.819000000003</v>
      </c>
      <c r="J194" s="104">
        <v>65521160.773999996</v>
      </c>
      <c r="K194" s="104">
        <v>6122504.335</v>
      </c>
      <c r="L194" s="104">
        <v>4422828.5750000002</v>
      </c>
      <c r="M194" s="114">
        <f t="shared" si="24"/>
        <v>79204341.841999993</v>
      </c>
      <c r="N194" s="35">
        <f t="shared" si="25"/>
        <v>96.038287693546522</v>
      </c>
      <c r="O194" s="35">
        <f t="shared" si="26"/>
        <v>3.4711511743692274</v>
      </c>
      <c r="P194" s="35">
        <f t="shared" si="27"/>
        <v>0.490561132084257</v>
      </c>
      <c r="Q194" s="35">
        <f t="shared" si="28"/>
        <v>0.19677732941367898</v>
      </c>
      <c r="R194" s="35">
        <f t="shared" si="29"/>
        <v>0.15459013184843343</v>
      </c>
      <c r="S194" s="35">
        <f t="shared" si="32"/>
        <v>0.18931593385352161</v>
      </c>
      <c r="T194" s="35">
        <f t="shared" si="33"/>
        <v>8.6215201904308869E-2</v>
      </c>
      <c r="U194" s="35">
        <f t="shared" si="30"/>
        <v>0.33681431109717103</v>
      </c>
      <c r="V194" s="35">
        <f t="shared" si="31"/>
        <v>0.78734675329685011</v>
      </c>
      <c r="X194" s="104">
        <v>1575620.483</v>
      </c>
      <c r="Y194" s="104">
        <v>846168.75100000005</v>
      </c>
      <c r="Z194" s="104">
        <v>150175.73199999999</v>
      </c>
      <c r="AA194" s="104">
        <v>79835.657000000007</v>
      </c>
      <c r="AB194" s="104">
        <v>97501.819000000003</v>
      </c>
      <c r="AC194" s="104">
        <v>0</v>
      </c>
      <c r="AD194" s="104">
        <v>82625.508000000002</v>
      </c>
      <c r="AE194" s="104">
        <v>305920.20799999998</v>
      </c>
      <c r="AF194" s="104">
        <v>0</v>
      </c>
      <c r="AG194" s="104">
        <v>0</v>
      </c>
      <c r="AH194" s="104">
        <v>0</v>
      </c>
      <c r="AI194" s="104">
        <v>0</v>
      </c>
    </row>
    <row r="195" spans="1:35" ht="16" x14ac:dyDescent="0.2">
      <c r="A195" s="45" t="s">
        <v>913</v>
      </c>
      <c r="B195" t="s">
        <v>905</v>
      </c>
      <c r="C195" t="s">
        <v>904</v>
      </c>
      <c r="D195" s="631">
        <f t="shared" si="34"/>
        <v>634079.88800000004</v>
      </c>
      <c r="E195" s="631">
        <f t="shared" si="35"/>
        <v>0</v>
      </c>
      <c r="F195" s="631">
        <f t="shared" si="36"/>
        <v>0</v>
      </c>
      <c r="G195" s="631">
        <f t="shared" si="37"/>
        <v>3846506.5639999998</v>
      </c>
      <c r="H195" s="631">
        <f t="shared" si="38"/>
        <v>436857.80199999997</v>
      </c>
      <c r="I195" s="631">
        <f t="shared" si="39"/>
        <v>180549.625</v>
      </c>
      <c r="J195" s="104">
        <v>116906431.108</v>
      </c>
      <c r="K195" s="104">
        <v>10263333.476</v>
      </c>
      <c r="L195" s="104">
        <v>7229402.4749999996</v>
      </c>
      <c r="M195" s="114">
        <f t="shared" ref="M195:M258" si="40">SUM(D195:L195)</f>
        <v>139497160.93799999</v>
      </c>
      <c r="N195" s="35">
        <f t="shared" ref="N195:N258" si="41">SUM(J195:L195)/$M195*100</f>
        <v>96.345449724768343</v>
      </c>
      <c r="O195" s="35">
        <f t="shared" ref="O195:O258" si="42">SUM(G195:I195)/$M195*100</f>
        <v>3.2000034703100533</v>
      </c>
      <c r="P195" s="35">
        <f t="shared" ref="P195:P258" si="43">SUM(D195:F195)/$M195*100</f>
        <v>0.45454680492158478</v>
      </c>
      <c r="Q195" s="35">
        <f t="shared" ref="Q195:Q258" si="44">(K195+(2*L195))/SUM(J195:L195)</f>
        <v>0.18394562233519804</v>
      </c>
      <c r="R195" s="35">
        <f t="shared" ref="R195:R258" si="45">(H195+(2*I195))/SUM(G195:I195)</f>
        <v>0.17875726405320877</v>
      </c>
      <c r="S195" s="35">
        <f t="shared" ref="S195:S258" si="46">(Z195+(2*AB195))/SUM(X195,Z195,AB195)</f>
        <v>0.22696649672956473</v>
      </c>
      <c r="T195" s="35">
        <f t="shared" ref="T195:T258" si="47">(AA195+(2*AC195))/SUM(Y195,AA195,AC195)</f>
        <v>8.0756244711172862E-2</v>
      </c>
      <c r="U195" s="35">
        <f t="shared" ref="U195:U258" si="48">SUM(Y195,AA195,AC195)/SUM(G195:I195)</f>
        <v>0.32972539210377455</v>
      </c>
      <c r="V195" s="35">
        <f t="shared" ref="V195:V258" si="49">SUM(AE195,AG195,AI195)/SUM(D195:F195)</f>
        <v>0.8063140523390957</v>
      </c>
      <c r="X195" s="104">
        <v>2493503.1269999999</v>
      </c>
      <c r="Y195" s="104">
        <v>1353003.4369999999</v>
      </c>
      <c r="Z195" s="104">
        <v>317995.44799999997</v>
      </c>
      <c r="AA195" s="104">
        <v>118862.35400000001</v>
      </c>
      <c r="AB195" s="104">
        <v>180549.625</v>
      </c>
      <c r="AC195" s="104">
        <v>0</v>
      </c>
      <c r="AD195" s="104">
        <v>122812.364</v>
      </c>
      <c r="AE195" s="104">
        <v>511267.52399999998</v>
      </c>
      <c r="AF195" s="104">
        <v>0</v>
      </c>
      <c r="AG195" s="104">
        <v>0</v>
      </c>
      <c r="AH195" s="104">
        <v>0</v>
      </c>
      <c r="AI195" s="104">
        <v>0</v>
      </c>
    </row>
    <row r="196" spans="1:35" ht="16" x14ac:dyDescent="0.2">
      <c r="A196" s="45" t="s">
        <v>913</v>
      </c>
      <c r="B196" t="s">
        <v>905</v>
      </c>
      <c r="C196" t="s">
        <v>904</v>
      </c>
      <c r="D196" s="631">
        <f t="shared" si="34"/>
        <v>396180.55700000003</v>
      </c>
      <c r="E196" s="631">
        <f t="shared" si="35"/>
        <v>0</v>
      </c>
      <c r="F196" s="631">
        <f t="shared" si="36"/>
        <v>0</v>
      </c>
      <c r="G196" s="631">
        <f t="shared" si="37"/>
        <v>1814894.2239999999</v>
      </c>
      <c r="H196" s="631">
        <f t="shared" si="38"/>
        <v>256050.908</v>
      </c>
      <c r="I196" s="631">
        <f t="shared" si="39"/>
        <v>73977.058999999994</v>
      </c>
      <c r="J196" s="104">
        <v>47063897.979999997</v>
      </c>
      <c r="K196" s="104">
        <v>3874573.1839999999</v>
      </c>
      <c r="L196" s="104">
        <v>2936955.9929999998</v>
      </c>
      <c r="M196" s="114">
        <f t="shared" si="40"/>
        <v>56416529.905000001</v>
      </c>
      <c r="N196" s="35">
        <f t="shared" si="41"/>
        <v>95.495818774605652</v>
      </c>
      <c r="O196" s="35">
        <f t="shared" si="42"/>
        <v>3.8019392447778024</v>
      </c>
      <c r="P196" s="35">
        <f t="shared" si="43"/>
        <v>0.70224198061654963</v>
      </c>
      <c r="Q196" s="35">
        <f t="shared" si="44"/>
        <v>0.18094492581175545</v>
      </c>
      <c r="R196" s="35">
        <f t="shared" si="45"/>
        <v>0.18835416393899387</v>
      </c>
      <c r="S196" s="35">
        <f t="shared" si="46"/>
        <v>0.20708522880123392</v>
      </c>
      <c r="T196" s="35">
        <f t="shared" si="47"/>
        <v>0.13655020638046159</v>
      </c>
      <c r="U196" s="35">
        <f t="shared" si="48"/>
        <v>0.26555694206065489</v>
      </c>
      <c r="V196" s="35">
        <f t="shared" si="49"/>
        <v>0.85565982734483359</v>
      </c>
      <c r="X196" s="104">
        <v>1323074.1040000001</v>
      </c>
      <c r="Y196" s="104">
        <v>491820.12</v>
      </c>
      <c r="Z196" s="104">
        <v>178272.05</v>
      </c>
      <c r="AA196" s="104">
        <v>77778.857999999993</v>
      </c>
      <c r="AB196" s="104">
        <v>73977.058999999994</v>
      </c>
      <c r="AC196" s="104">
        <v>0</v>
      </c>
      <c r="AD196" s="104">
        <v>57184.77</v>
      </c>
      <c r="AE196" s="104">
        <v>338995.78700000001</v>
      </c>
      <c r="AF196" s="104">
        <v>0</v>
      </c>
      <c r="AG196" s="104">
        <v>0</v>
      </c>
      <c r="AH196" s="104">
        <v>0</v>
      </c>
      <c r="AI196" s="104">
        <v>0</v>
      </c>
    </row>
    <row r="197" spans="1:35" ht="16" x14ac:dyDescent="0.2">
      <c r="A197" s="45" t="s">
        <v>913</v>
      </c>
      <c r="B197" t="s">
        <v>905</v>
      </c>
      <c r="C197" t="s">
        <v>904</v>
      </c>
      <c r="D197" s="631">
        <f t="shared" si="34"/>
        <v>353990.57200000004</v>
      </c>
      <c r="E197" s="631">
        <f t="shared" si="35"/>
        <v>0</v>
      </c>
      <c r="F197" s="631">
        <f t="shared" si="36"/>
        <v>0</v>
      </c>
      <c r="G197" s="631">
        <f t="shared" si="37"/>
        <v>1923633.7820000001</v>
      </c>
      <c r="H197" s="631">
        <f t="shared" si="38"/>
        <v>183896.70799999998</v>
      </c>
      <c r="I197" s="631">
        <f t="shared" si="39"/>
        <v>69330.914999999994</v>
      </c>
      <c r="J197" s="104">
        <v>44593954.215000004</v>
      </c>
      <c r="K197" s="104">
        <v>3602848.5490000001</v>
      </c>
      <c r="L197" s="104">
        <v>2655383.298</v>
      </c>
      <c r="M197" s="114">
        <f t="shared" si="40"/>
        <v>53383038.039000005</v>
      </c>
      <c r="N197" s="35">
        <f t="shared" si="41"/>
        <v>95.259070914714457</v>
      </c>
      <c r="O197" s="35">
        <f t="shared" si="42"/>
        <v>4.0778147609539426</v>
      </c>
      <c r="P197" s="35">
        <f t="shared" si="43"/>
        <v>0.66311432433160777</v>
      </c>
      <c r="Q197" s="35">
        <f t="shared" si="44"/>
        <v>0.17528479767088756</v>
      </c>
      <c r="R197" s="35">
        <f t="shared" si="45"/>
        <v>0.1481759643765653</v>
      </c>
      <c r="S197" s="35">
        <f t="shared" si="46"/>
        <v>0.16550001677639289</v>
      </c>
      <c r="T197" s="35">
        <f t="shared" si="47"/>
        <v>0.10939902264348014</v>
      </c>
      <c r="U197" s="35">
        <f t="shared" si="48"/>
        <v>0.30880116596122942</v>
      </c>
      <c r="V197" s="35">
        <f t="shared" si="49"/>
        <v>0.87627129233261036</v>
      </c>
      <c r="X197" s="104">
        <v>1324956.362</v>
      </c>
      <c r="Y197" s="104">
        <v>598677.42000000004</v>
      </c>
      <c r="Z197" s="104">
        <v>110356.788</v>
      </c>
      <c r="AA197" s="104">
        <v>73539.92</v>
      </c>
      <c r="AB197" s="104">
        <v>69330.914999999994</v>
      </c>
      <c r="AC197" s="104">
        <v>0</v>
      </c>
      <c r="AD197" s="104">
        <v>43798.796000000002</v>
      </c>
      <c r="AE197" s="104">
        <v>310191.77600000001</v>
      </c>
      <c r="AF197" s="104">
        <v>0</v>
      </c>
      <c r="AG197" s="104">
        <v>0</v>
      </c>
      <c r="AH197" s="104">
        <v>0</v>
      </c>
      <c r="AI197" s="104">
        <v>0</v>
      </c>
    </row>
    <row r="198" spans="1:35" ht="16" x14ac:dyDescent="0.2">
      <c r="A198" s="45" t="s">
        <v>913</v>
      </c>
      <c r="B198" t="s">
        <v>905</v>
      </c>
      <c r="C198" t="s">
        <v>904</v>
      </c>
      <c r="D198" s="631">
        <f t="shared" si="34"/>
        <v>2072952.223</v>
      </c>
      <c r="E198" s="631">
        <f t="shared" si="35"/>
        <v>0</v>
      </c>
      <c r="F198" s="631">
        <f t="shared" si="36"/>
        <v>0</v>
      </c>
      <c r="G198" s="631">
        <f t="shared" si="37"/>
        <v>5467828.3810000001</v>
      </c>
      <c r="H198" s="631">
        <f t="shared" si="38"/>
        <v>559108.69499999995</v>
      </c>
      <c r="I198" s="631">
        <f t="shared" si="39"/>
        <v>186693.008</v>
      </c>
      <c r="J198" s="104">
        <v>109954404.015</v>
      </c>
      <c r="K198" s="104">
        <v>11835017.494000001</v>
      </c>
      <c r="L198" s="104">
        <v>8219865.3329999996</v>
      </c>
      <c r="M198" s="114">
        <f t="shared" si="40"/>
        <v>138295869.14899999</v>
      </c>
      <c r="N198" s="35">
        <f t="shared" si="41"/>
        <v>94.008076771930178</v>
      </c>
      <c r="O198" s="35">
        <f t="shared" si="42"/>
        <v>4.4929976016170343</v>
      </c>
      <c r="P198" s="35">
        <f t="shared" si="43"/>
        <v>1.4989256264528052</v>
      </c>
      <c r="Q198" s="35">
        <f t="shared" si="44"/>
        <v>0.21748252641645699</v>
      </c>
      <c r="R198" s="35">
        <f t="shared" si="45"/>
        <v>0.15007245336363989</v>
      </c>
      <c r="S198" s="35">
        <f t="shared" si="46"/>
        <v>0.1626923140160324</v>
      </c>
      <c r="T198" s="35">
        <f t="shared" si="47"/>
        <v>0.11944908778166141</v>
      </c>
      <c r="U198" s="35">
        <f t="shared" si="48"/>
        <v>0.29183439237384762</v>
      </c>
      <c r="V198" s="35">
        <f t="shared" si="49"/>
        <v>0.91343409654646923</v>
      </c>
      <c r="X198" s="104">
        <v>3871080.5389999999</v>
      </c>
      <c r="Y198" s="104">
        <v>1596747.8419999999</v>
      </c>
      <c r="Z198" s="104">
        <v>342505.57699999999</v>
      </c>
      <c r="AA198" s="104">
        <v>216603.11799999999</v>
      </c>
      <c r="AB198" s="104">
        <v>186693.008</v>
      </c>
      <c r="AC198" s="104">
        <v>0</v>
      </c>
      <c r="AD198" s="104">
        <v>179446.98199999999</v>
      </c>
      <c r="AE198" s="104">
        <v>1893505.2409999999</v>
      </c>
      <c r="AF198" s="104">
        <v>0</v>
      </c>
      <c r="AG198" s="104">
        <v>0</v>
      </c>
      <c r="AH198" s="104">
        <v>0</v>
      </c>
      <c r="AI198" s="104">
        <v>0</v>
      </c>
    </row>
    <row r="199" spans="1:35" ht="16" x14ac:dyDescent="0.2">
      <c r="A199" s="45" t="s">
        <v>913</v>
      </c>
      <c r="B199" t="s">
        <v>905</v>
      </c>
      <c r="C199" t="s">
        <v>904</v>
      </c>
      <c r="D199" s="631">
        <f t="shared" si="34"/>
        <v>364665.54</v>
      </c>
      <c r="E199" s="631">
        <f t="shared" si="35"/>
        <v>0</v>
      </c>
      <c r="F199" s="631">
        <f t="shared" si="36"/>
        <v>0</v>
      </c>
      <c r="G199" s="631">
        <f t="shared" si="37"/>
        <v>1238444.8729999999</v>
      </c>
      <c r="H199" s="631">
        <f t="shared" si="38"/>
        <v>130626.17499999999</v>
      </c>
      <c r="I199" s="631">
        <f t="shared" si="39"/>
        <v>45632.87</v>
      </c>
      <c r="J199" s="104">
        <v>23297049.202</v>
      </c>
      <c r="K199" s="104">
        <v>2698678.5639999998</v>
      </c>
      <c r="L199" s="104">
        <v>1726616.7450000001</v>
      </c>
      <c r="M199" s="114">
        <f t="shared" si="40"/>
        <v>29501713.969000001</v>
      </c>
      <c r="N199" s="35">
        <f t="shared" si="41"/>
        <v>93.96858955425526</v>
      </c>
      <c r="O199" s="35">
        <f t="shared" si="42"/>
        <v>4.7953278900559875</v>
      </c>
      <c r="P199" s="35">
        <f t="shared" si="43"/>
        <v>1.2360825556887494</v>
      </c>
      <c r="Q199" s="35">
        <f t="shared" si="44"/>
        <v>0.22191168036162925</v>
      </c>
      <c r="R199" s="35">
        <f t="shared" si="45"/>
        <v>0.15684689366923771</v>
      </c>
      <c r="S199" s="35">
        <f t="shared" si="46"/>
        <v>0.1835450178461894</v>
      </c>
      <c r="T199" s="35">
        <f t="shared" si="47"/>
        <v>9.6943263274964581E-2</v>
      </c>
      <c r="U199" s="35">
        <f t="shared" si="48"/>
        <v>0.30828618091096571</v>
      </c>
      <c r="V199" s="35">
        <f t="shared" si="49"/>
        <v>0.90741388122387434</v>
      </c>
      <c r="X199" s="104">
        <v>844591.42599999998</v>
      </c>
      <c r="Y199" s="104">
        <v>393853.44699999999</v>
      </c>
      <c r="Z199" s="104">
        <v>88345.953999999998</v>
      </c>
      <c r="AA199" s="104">
        <v>42280.220999999998</v>
      </c>
      <c r="AB199" s="104">
        <v>45632.87</v>
      </c>
      <c r="AC199" s="104">
        <v>0</v>
      </c>
      <c r="AD199" s="104">
        <v>33762.966999999997</v>
      </c>
      <c r="AE199" s="104">
        <v>330902.57299999997</v>
      </c>
      <c r="AF199" s="104">
        <v>0</v>
      </c>
      <c r="AG199" s="104">
        <v>0</v>
      </c>
      <c r="AH199" s="104">
        <v>0</v>
      </c>
      <c r="AI199" s="104">
        <v>0</v>
      </c>
    </row>
    <row r="200" spans="1:35" ht="16" x14ac:dyDescent="0.2">
      <c r="A200" s="45" t="s">
        <v>913</v>
      </c>
      <c r="B200" t="s">
        <v>905</v>
      </c>
      <c r="C200" t="s">
        <v>904</v>
      </c>
      <c r="D200" s="631">
        <f t="shared" si="34"/>
        <v>1303857.898</v>
      </c>
      <c r="E200" s="631">
        <f t="shared" si="35"/>
        <v>0</v>
      </c>
      <c r="F200" s="631">
        <f t="shared" si="36"/>
        <v>0</v>
      </c>
      <c r="G200" s="631">
        <f t="shared" si="37"/>
        <v>4482017.2300000004</v>
      </c>
      <c r="H200" s="631">
        <f t="shared" si="38"/>
        <v>522455.66200000001</v>
      </c>
      <c r="I200" s="631">
        <f t="shared" si="39"/>
        <v>194267.21900000001</v>
      </c>
      <c r="J200" s="104">
        <v>86910604.427000001</v>
      </c>
      <c r="K200" s="104">
        <v>9267266.3330000006</v>
      </c>
      <c r="L200" s="104">
        <v>6807734.3159999996</v>
      </c>
      <c r="M200" s="114">
        <f t="shared" si="40"/>
        <v>109488203.08500001</v>
      </c>
      <c r="N200" s="35">
        <f t="shared" si="41"/>
        <v>94.060914485963593</v>
      </c>
      <c r="O200" s="35">
        <f t="shared" si="42"/>
        <v>4.7482194104181374</v>
      </c>
      <c r="P200" s="35">
        <f t="shared" si="43"/>
        <v>1.1908661036182717</v>
      </c>
      <c r="Q200" s="35">
        <f t="shared" si="44"/>
        <v>0.22219352838790712</v>
      </c>
      <c r="R200" s="35">
        <f t="shared" si="45"/>
        <v>0.17523286037562033</v>
      </c>
      <c r="S200" s="35">
        <f t="shared" si="46"/>
        <v>0.17685743750673288</v>
      </c>
      <c r="T200" s="35">
        <f t="shared" si="47"/>
        <v>0.17022744953935073</v>
      </c>
      <c r="U200" s="35">
        <f t="shared" si="48"/>
        <v>0.24503470279358994</v>
      </c>
      <c r="V200" s="35">
        <f t="shared" si="49"/>
        <v>0.89632279621318056</v>
      </c>
      <c r="X200" s="104">
        <v>3424993.429</v>
      </c>
      <c r="Y200" s="104">
        <v>1057023.801</v>
      </c>
      <c r="Z200" s="104">
        <v>305607.72499999998</v>
      </c>
      <c r="AA200" s="104">
        <v>216847.93700000001</v>
      </c>
      <c r="AB200" s="104">
        <v>194267.21900000001</v>
      </c>
      <c r="AC200" s="104">
        <v>0</v>
      </c>
      <c r="AD200" s="104">
        <v>135180.34099999999</v>
      </c>
      <c r="AE200" s="104">
        <v>1168677.557</v>
      </c>
      <c r="AF200" s="104">
        <v>0</v>
      </c>
      <c r="AG200" s="104">
        <v>0</v>
      </c>
      <c r="AH200" s="104">
        <v>0</v>
      </c>
      <c r="AI200" s="104">
        <v>0</v>
      </c>
    </row>
    <row r="201" spans="1:35" ht="16" x14ac:dyDescent="0.2">
      <c r="A201" s="45" t="s">
        <v>913</v>
      </c>
      <c r="B201" t="s">
        <v>905</v>
      </c>
      <c r="C201" t="s">
        <v>904</v>
      </c>
      <c r="D201" s="631">
        <f t="shared" si="34"/>
        <v>539018.60800000001</v>
      </c>
      <c r="E201" s="631">
        <f t="shared" si="35"/>
        <v>0</v>
      </c>
      <c r="F201" s="631">
        <f t="shared" si="36"/>
        <v>0</v>
      </c>
      <c r="G201" s="631">
        <f t="shared" si="37"/>
        <v>1679449.0060000001</v>
      </c>
      <c r="H201" s="631">
        <f t="shared" si="38"/>
        <v>187262.943</v>
      </c>
      <c r="I201" s="631">
        <f t="shared" si="39"/>
        <v>59764.847999999998</v>
      </c>
      <c r="J201" s="104">
        <v>32150721.473000001</v>
      </c>
      <c r="K201" s="104">
        <v>3482079.26</v>
      </c>
      <c r="L201" s="104">
        <v>2582208.7030000002</v>
      </c>
      <c r="M201" s="114">
        <f t="shared" si="40"/>
        <v>40680504.840999998</v>
      </c>
      <c r="N201" s="35">
        <f t="shared" si="41"/>
        <v>93.939368710795506</v>
      </c>
      <c r="O201" s="35">
        <f t="shared" si="42"/>
        <v>4.7356265723093811</v>
      </c>
      <c r="P201" s="35">
        <f t="shared" si="43"/>
        <v>1.3250047168951258</v>
      </c>
      <c r="Q201" s="35">
        <f t="shared" si="44"/>
        <v>0.22625917914479618</v>
      </c>
      <c r="R201" s="35">
        <f t="shared" si="45"/>
        <v>0.15925062761085512</v>
      </c>
      <c r="S201" s="35">
        <f t="shared" si="46"/>
        <v>0.16436571856864837</v>
      </c>
      <c r="T201" s="35">
        <f t="shared" si="47"/>
        <v>0.14751444430866054</v>
      </c>
      <c r="U201" s="35">
        <f t="shared" si="48"/>
        <v>0.30354327387209118</v>
      </c>
      <c r="V201" s="35">
        <f t="shared" si="49"/>
        <v>0.91335311563121402</v>
      </c>
      <c r="X201" s="104">
        <v>1180941.817</v>
      </c>
      <c r="Y201" s="104">
        <v>498507.18900000001</v>
      </c>
      <c r="Z201" s="104">
        <v>101001.058</v>
      </c>
      <c r="AA201" s="104">
        <v>86261.884999999995</v>
      </c>
      <c r="AB201" s="104">
        <v>59764.847999999998</v>
      </c>
      <c r="AC201" s="104">
        <v>0</v>
      </c>
      <c r="AD201" s="104">
        <v>46704.283000000003</v>
      </c>
      <c r="AE201" s="104">
        <v>492314.32500000001</v>
      </c>
      <c r="AF201" s="104">
        <v>0</v>
      </c>
      <c r="AG201" s="104">
        <v>0</v>
      </c>
      <c r="AH201" s="104">
        <v>0</v>
      </c>
      <c r="AI201" s="104">
        <v>0</v>
      </c>
    </row>
    <row r="202" spans="1:35" ht="16" x14ac:dyDescent="0.2">
      <c r="A202" s="45" t="s">
        <v>913</v>
      </c>
      <c r="B202" t="s">
        <v>905</v>
      </c>
      <c r="C202" t="s">
        <v>904</v>
      </c>
      <c r="D202" s="631">
        <f t="shared" si="34"/>
        <v>872653.69400000002</v>
      </c>
      <c r="E202" s="631">
        <f t="shared" si="35"/>
        <v>0</v>
      </c>
      <c r="F202" s="631">
        <f t="shared" si="36"/>
        <v>0</v>
      </c>
      <c r="G202" s="631">
        <f t="shared" si="37"/>
        <v>2320339.7480000001</v>
      </c>
      <c r="H202" s="631">
        <f t="shared" si="38"/>
        <v>212665.80300000001</v>
      </c>
      <c r="I202" s="631">
        <f t="shared" si="39"/>
        <v>98466.091</v>
      </c>
      <c r="J202" s="104">
        <v>45917290.156999998</v>
      </c>
      <c r="K202" s="104">
        <v>5494267.6260000002</v>
      </c>
      <c r="L202" s="104">
        <v>4742517.5329999998</v>
      </c>
      <c r="M202" s="114">
        <f t="shared" si="40"/>
        <v>59658200.652000003</v>
      </c>
      <c r="N202" s="35">
        <f t="shared" si="41"/>
        <v>94.12633083515145</v>
      </c>
      <c r="O202" s="35">
        <f t="shared" si="42"/>
        <v>4.4109135261218801</v>
      </c>
      <c r="P202" s="35">
        <f t="shared" si="43"/>
        <v>1.4627556387266683</v>
      </c>
      <c r="Q202" s="35">
        <f t="shared" si="44"/>
        <v>0.26675361686050136</v>
      </c>
      <c r="R202" s="35">
        <f t="shared" si="45"/>
        <v>0.15565358123665465</v>
      </c>
      <c r="S202" s="35">
        <f t="shared" si="46"/>
        <v>0.18866500560569133</v>
      </c>
      <c r="T202" s="35">
        <f t="shared" si="47"/>
        <v>0.10581350036094528</v>
      </c>
      <c r="U202" s="35">
        <f t="shared" si="48"/>
        <v>0.39844085236013349</v>
      </c>
      <c r="V202" s="35">
        <f t="shared" si="49"/>
        <v>0.9326690158948665</v>
      </c>
      <c r="X202" s="104">
        <v>1382797.8970000001</v>
      </c>
      <c r="Y202" s="104">
        <v>937541.85100000002</v>
      </c>
      <c r="Z202" s="104">
        <v>101721.85</v>
      </c>
      <c r="AA202" s="104">
        <v>110943.95299999999</v>
      </c>
      <c r="AB202" s="104">
        <v>98466.091</v>
      </c>
      <c r="AC202" s="104">
        <v>0</v>
      </c>
      <c r="AD202" s="104">
        <v>58756.631999999998</v>
      </c>
      <c r="AE202" s="104">
        <v>813897.06200000003</v>
      </c>
      <c r="AF202" s="104">
        <v>0</v>
      </c>
      <c r="AG202" s="104">
        <v>0</v>
      </c>
      <c r="AH202" s="104">
        <v>0</v>
      </c>
      <c r="AI202" s="104">
        <v>0</v>
      </c>
    </row>
    <row r="203" spans="1:35" ht="16" x14ac:dyDescent="0.2">
      <c r="A203" s="45" t="s">
        <v>913</v>
      </c>
      <c r="B203" t="s">
        <v>905</v>
      </c>
      <c r="C203" t="s">
        <v>904</v>
      </c>
      <c r="D203" s="631">
        <f t="shared" si="34"/>
        <v>509055.18300000002</v>
      </c>
      <c r="E203" s="631">
        <f t="shared" si="35"/>
        <v>0</v>
      </c>
      <c r="F203" s="631">
        <f t="shared" si="36"/>
        <v>0</v>
      </c>
      <c r="G203" s="631">
        <f t="shared" si="37"/>
        <v>1628923.1069999998</v>
      </c>
      <c r="H203" s="631">
        <f t="shared" si="38"/>
        <v>155610.837</v>
      </c>
      <c r="I203" s="631">
        <f t="shared" si="39"/>
        <v>64465.851000000002</v>
      </c>
      <c r="J203" s="104">
        <v>29886622.710000001</v>
      </c>
      <c r="K203" s="104">
        <v>3321673.4939999999</v>
      </c>
      <c r="L203" s="104">
        <v>2732227.9049999998</v>
      </c>
      <c r="M203" s="114">
        <f t="shared" si="40"/>
        <v>38298579.087000005</v>
      </c>
      <c r="N203" s="35">
        <f t="shared" si="41"/>
        <v>93.842970067784009</v>
      </c>
      <c r="O203" s="35">
        <f t="shared" si="42"/>
        <v>4.8278548162316044</v>
      </c>
      <c r="P203" s="35">
        <f t="shared" si="43"/>
        <v>1.3291751159843754</v>
      </c>
      <c r="Q203" s="35">
        <f t="shared" si="44"/>
        <v>0.24446302667578051</v>
      </c>
      <c r="R203" s="35">
        <f t="shared" si="45"/>
        <v>0.1538899786627613</v>
      </c>
      <c r="S203" s="35">
        <f t="shared" si="46"/>
        <v>0.17310779560766437</v>
      </c>
      <c r="T203" s="35">
        <f t="shared" si="47"/>
        <v>0.11456805419275798</v>
      </c>
      <c r="U203" s="35">
        <f t="shared" si="48"/>
        <v>0.3282866729576896</v>
      </c>
      <c r="V203" s="35">
        <f t="shared" si="49"/>
        <v>0.8758402976519738</v>
      </c>
      <c r="X203" s="104">
        <v>1091464.1529999999</v>
      </c>
      <c r="Y203" s="104">
        <v>537458.95400000003</v>
      </c>
      <c r="Z203" s="104">
        <v>86067.8</v>
      </c>
      <c r="AA203" s="104">
        <v>69543.036999999997</v>
      </c>
      <c r="AB203" s="104">
        <v>64465.851000000002</v>
      </c>
      <c r="AC203" s="104">
        <v>0</v>
      </c>
      <c r="AD203" s="104">
        <v>63204.14</v>
      </c>
      <c r="AE203" s="104">
        <v>445851.04300000001</v>
      </c>
      <c r="AF203" s="104">
        <v>0</v>
      </c>
      <c r="AG203" s="104">
        <v>0</v>
      </c>
      <c r="AH203" s="104">
        <v>0</v>
      </c>
      <c r="AI203" s="104">
        <v>0</v>
      </c>
    </row>
    <row r="204" spans="1:35" ht="16" x14ac:dyDescent="0.2">
      <c r="A204" s="45" t="s">
        <v>913</v>
      </c>
      <c r="B204" t="s">
        <v>905</v>
      </c>
      <c r="C204" t="s">
        <v>904</v>
      </c>
      <c r="D204" s="631">
        <f t="shared" si="34"/>
        <v>404638.913</v>
      </c>
      <c r="E204" s="631">
        <f t="shared" si="35"/>
        <v>0</v>
      </c>
      <c r="F204" s="631">
        <f t="shared" si="36"/>
        <v>0</v>
      </c>
      <c r="G204" s="631">
        <f t="shared" si="37"/>
        <v>1065364.291</v>
      </c>
      <c r="H204" s="631">
        <f t="shared" si="38"/>
        <v>102636.11500000001</v>
      </c>
      <c r="I204" s="631">
        <f t="shared" si="39"/>
        <v>40473.11</v>
      </c>
      <c r="J204" s="104">
        <v>18922179.271000002</v>
      </c>
      <c r="K204" s="104">
        <v>2037085.2080000001</v>
      </c>
      <c r="L204" s="104">
        <v>1490399.3119999999</v>
      </c>
      <c r="M204" s="114">
        <f t="shared" si="40"/>
        <v>24062776.220000003</v>
      </c>
      <c r="N204" s="35">
        <f t="shared" si="41"/>
        <v>93.296233093589393</v>
      </c>
      <c r="O204" s="35">
        <f t="shared" si="42"/>
        <v>5.0221699481025217</v>
      </c>
      <c r="P204" s="35">
        <f t="shared" si="43"/>
        <v>1.6815969583080799</v>
      </c>
      <c r="Q204" s="35">
        <f t="shared" si="44"/>
        <v>0.22351710380676854</v>
      </c>
      <c r="R204" s="35">
        <f t="shared" si="45"/>
        <v>0.151912584404539</v>
      </c>
      <c r="S204" s="35">
        <f t="shared" si="46"/>
        <v>0.17358807508001317</v>
      </c>
      <c r="T204" s="35">
        <f t="shared" si="47"/>
        <v>0.1114941492302076</v>
      </c>
      <c r="U204" s="35">
        <f t="shared" si="48"/>
        <v>0.34907586175020489</v>
      </c>
      <c r="V204" s="35">
        <f t="shared" si="49"/>
        <v>0.8814253734415306</v>
      </c>
      <c r="X204" s="104">
        <v>690549.04500000004</v>
      </c>
      <c r="Y204" s="104">
        <v>374815.24599999998</v>
      </c>
      <c r="Z204" s="104">
        <v>55602.427000000003</v>
      </c>
      <c r="AA204" s="104">
        <v>47033.688000000002</v>
      </c>
      <c r="AB204" s="104">
        <v>40473.11</v>
      </c>
      <c r="AC204" s="104">
        <v>0</v>
      </c>
      <c r="AD204" s="104">
        <v>47979.908000000003</v>
      </c>
      <c r="AE204" s="104">
        <v>356659.005</v>
      </c>
      <c r="AF204" s="104">
        <v>0</v>
      </c>
      <c r="AG204" s="104">
        <v>0</v>
      </c>
      <c r="AH204" s="104">
        <v>0</v>
      </c>
      <c r="AI204" s="104">
        <v>0</v>
      </c>
    </row>
    <row r="205" spans="1:35" ht="16" x14ac:dyDescent="0.2">
      <c r="A205" s="45" t="s">
        <v>913</v>
      </c>
      <c r="B205" t="s">
        <v>905</v>
      </c>
      <c r="C205" t="s">
        <v>904</v>
      </c>
      <c r="D205" s="631">
        <f t="shared" si="34"/>
        <v>562906.57499999995</v>
      </c>
      <c r="E205" s="631">
        <f t="shared" si="35"/>
        <v>0</v>
      </c>
      <c r="F205" s="631">
        <f t="shared" si="36"/>
        <v>0</v>
      </c>
      <c r="G205" s="631">
        <f t="shared" si="37"/>
        <v>1555550.929</v>
      </c>
      <c r="H205" s="631">
        <f t="shared" si="38"/>
        <v>152918.247</v>
      </c>
      <c r="I205" s="631">
        <f t="shared" si="39"/>
        <v>50477.218999999997</v>
      </c>
      <c r="J205" s="104">
        <v>27949499.013999999</v>
      </c>
      <c r="K205" s="104">
        <v>2883165.7420000001</v>
      </c>
      <c r="L205" s="104">
        <v>2010193.1070000001</v>
      </c>
      <c r="M205" s="114">
        <f t="shared" si="40"/>
        <v>35164710.832999997</v>
      </c>
      <c r="N205" s="35">
        <f t="shared" si="41"/>
        <v>93.397207271156972</v>
      </c>
      <c r="O205" s="35">
        <f t="shared" si="42"/>
        <v>5.00202149636144</v>
      </c>
      <c r="P205" s="35">
        <f t="shared" si="43"/>
        <v>1.6007712324815861</v>
      </c>
      <c r="Q205" s="35">
        <f t="shared" si="44"/>
        <v>0.21019948948405559</v>
      </c>
      <c r="R205" s="35">
        <f t="shared" si="45"/>
        <v>0.14433224669134956</v>
      </c>
      <c r="S205" s="35">
        <f t="shared" si="46"/>
        <v>0.16465680014720044</v>
      </c>
      <c r="T205" s="35">
        <f t="shared" si="47"/>
        <v>0.10438304955278423</v>
      </c>
      <c r="U205" s="35">
        <f t="shared" si="48"/>
        <v>0.33720406072977566</v>
      </c>
      <c r="V205" s="35">
        <f t="shared" si="49"/>
        <v>0.90584096659379054</v>
      </c>
      <c r="X205" s="104">
        <v>1024339.14</v>
      </c>
      <c r="Y205" s="104">
        <v>531211.78899999999</v>
      </c>
      <c r="Z205" s="104">
        <v>91006.168999999994</v>
      </c>
      <c r="AA205" s="104">
        <v>61912.078000000001</v>
      </c>
      <c r="AB205" s="104">
        <v>50477.218999999997</v>
      </c>
      <c r="AC205" s="104">
        <v>0</v>
      </c>
      <c r="AD205" s="104">
        <v>53002.739000000001</v>
      </c>
      <c r="AE205" s="104">
        <v>509903.83600000001</v>
      </c>
      <c r="AF205" s="104">
        <v>0</v>
      </c>
      <c r="AG205" s="104">
        <v>0</v>
      </c>
      <c r="AH205" s="104">
        <v>0</v>
      </c>
      <c r="AI205" s="104">
        <v>0</v>
      </c>
    </row>
    <row r="206" spans="1:35" ht="16" x14ac:dyDescent="0.2">
      <c r="A206" s="45" t="s">
        <v>913</v>
      </c>
      <c r="B206" t="s">
        <v>905</v>
      </c>
      <c r="C206" t="s">
        <v>904</v>
      </c>
      <c r="D206" s="631">
        <f t="shared" si="34"/>
        <v>501447.68300000002</v>
      </c>
      <c r="E206" s="631">
        <f t="shared" si="35"/>
        <v>0</v>
      </c>
      <c r="F206" s="631">
        <f t="shared" si="36"/>
        <v>0</v>
      </c>
      <c r="G206" s="631">
        <f t="shared" si="37"/>
        <v>1345181.537</v>
      </c>
      <c r="H206" s="631">
        <f t="shared" si="38"/>
        <v>138790.01300000001</v>
      </c>
      <c r="I206" s="631">
        <f t="shared" si="39"/>
        <v>49007.216</v>
      </c>
      <c r="J206" s="104">
        <v>19238703.441</v>
      </c>
      <c r="K206" s="104">
        <v>2116468.2779999999</v>
      </c>
      <c r="L206" s="104">
        <v>1657110.912</v>
      </c>
      <c r="M206" s="114">
        <f t="shared" si="40"/>
        <v>25046709.080000002</v>
      </c>
      <c r="N206" s="35">
        <f t="shared" si="41"/>
        <v>91.877470040068033</v>
      </c>
      <c r="O206" s="35">
        <f t="shared" si="42"/>
        <v>6.1204797848037282</v>
      </c>
      <c r="P206" s="35">
        <f t="shared" si="43"/>
        <v>2.0020501751282369</v>
      </c>
      <c r="Q206" s="35">
        <f t="shared" si="44"/>
        <v>0.23599093532269941</v>
      </c>
      <c r="R206" s="35">
        <f t="shared" si="45"/>
        <v>0.15447340188402844</v>
      </c>
      <c r="S206" s="35">
        <f t="shared" si="46"/>
        <v>0.17690843964049988</v>
      </c>
      <c r="T206" s="35">
        <f t="shared" si="47"/>
        <v>0.10761566558374508</v>
      </c>
      <c r="U206" s="35">
        <f t="shared" si="48"/>
        <v>0.32377167838735738</v>
      </c>
      <c r="V206" s="35">
        <f t="shared" si="49"/>
        <v>0.92110293587696168</v>
      </c>
      <c r="X206" s="104">
        <v>902259.86199999996</v>
      </c>
      <c r="Y206" s="104">
        <v>442921.67499999999</v>
      </c>
      <c r="Z206" s="104">
        <v>85376.58</v>
      </c>
      <c r="AA206" s="104">
        <v>53413.432999999997</v>
      </c>
      <c r="AB206" s="104">
        <v>49007.216</v>
      </c>
      <c r="AC206" s="104">
        <v>0</v>
      </c>
      <c r="AD206" s="104">
        <v>39562.75</v>
      </c>
      <c r="AE206" s="104">
        <v>461884.93300000002</v>
      </c>
      <c r="AF206" s="104">
        <v>0</v>
      </c>
      <c r="AG206" s="104">
        <v>0</v>
      </c>
      <c r="AH206" s="104">
        <v>0</v>
      </c>
      <c r="AI206" s="104">
        <v>0</v>
      </c>
    </row>
    <row r="207" spans="1:35" ht="16" x14ac:dyDescent="0.2">
      <c r="A207" s="45" t="s">
        <v>914</v>
      </c>
      <c r="B207" t="s">
        <v>905</v>
      </c>
      <c r="C207" t="s">
        <v>904</v>
      </c>
      <c r="D207" s="631">
        <f t="shared" ref="D207:D213" si="50">SUM(AD207:AE207)</f>
        <v>20746.666000000001</v>
      </c>
      <c r="E207" s="631">
        <f t="shared" ref="E207:E213" si="51">SUM(AF207:AG207)</f>
        <v>0</v>
      </c>
      <c r="F207" s="631">
        <f t="shared" ref="F207:F213" si="52">SUM(AH207:AI207)</f>
        <v>0</v>
      </c>
      <c r="G207" s="631">
        <f t="shared" ref="G207:G213" si="53">SUM(X207:Y207)</f>
        <v>202388.32800000001</v>
      </c>
      <c r="H207" s="631">
        <f t="shared" ref="H207:H213" si="54">SUM(Z207:AA207)</f>
        <v>38242.038999999997</v>
      </c>
      <c r="I207" s="631">
        <f t="shared" ref="I207:I213" si="55">SUM(AB207:AC207)</f>
        <v>20839.232</v>
      </c>
      <c r="J207" s="104">
        <v>2103540.452</v>
      </c>
      <c r="K207" s="104">
        <v>199635.111</v>
      </c>
      <c r="L207" s="104">
        <v>138268.57</v>
      </c>
      <c r="M207" s="114">
        <f t="shared" si="40"/>
        <v>2723660.398</v>
      </c>
      <c r="N207" s="35">
        <f t="shared" si="41"/>
        <v>89.63834605785533</v>
      </c>
      <c r="O207" s="35">
        <f t="shared" si="42"/>
        <v>9.5999339415442044</v>
      </c>
      <c r="P207" s="35">
        <f t="shared" si="43"/>
        <v>0.76172000060045664</v>
      </c>
      <c r="Q207" s="35">
        <f t="shared" si="44"/>
        <v>0.19503712764251896</v>
      </c>
      <c r="R207" s="35">
        <f t="shared" si="45"/>
        <v>0.30565887317553886</v>
      </c>
      <c r="S207" s="35">
        <f t="shared" si="46"/>
        <v>0.30565887317553886</v>
      </c>
      <c r="T207" s="35"/>
      <c r="U207" s="35">
        <f t="shared" si="48"/>
        <v>0</v>
      </c>
      <c r="V207" s="35">
        <f t="shared" si="49"/>
        <v>0</v>
      </c>
      <c r="X207" s="104">
        <v>202388.32800000001</v>
      </c>
      <c r="Y207" s="104">
        <v>0</v>
      </c>
      <c r="Z207" s="104">
        <v>38242.038999999997</v>
      </c>
      <c r="AA207" s="104">
        <v>0</v>
      </c>
      <c r="AB207" s="104">
        <v>20839.232</v>
      </c>
      <c r="AC207" s="104">
        <v>0</v>
      </c>
      <c r="AD207" s="104">
        <v>20746.666000000001</v>
      </c>
      <c r="AE207" s="104">
        <v>0</v>
      </c>
      <c r="AF207" s="104">
        <v>0</v>
      </c>
      <c r="AG207" s="104">
        <v>0</v>
      </c>
      <c r="AH207" s="104">
        <v>0</v>
      </c>
      <c r="AI207" s="104">
        <v>0</v>
      </c>
    </row>
    <row r="208" spans="1:35" ht="16" x14ac:dyDescent="0.2">
      <c r="A208" s="45" t="s">
        <v>914</v>
      </c>
      <c r="B208" t="s">
        <v>905</v>
      </c>
      <c r="C208" t="s">
        <v>904</v>
      </c>
      <c r="D208" s="631">
        <f t="shared" si="50"/>
        <v>34580.822999999997</v>
      </c>
      <c r="E208" s="631">
        <f t="shared" si="51"/>
        <v>0</v>
      </c>
      <c r="F208" s="631">
        <f t="shared" si="52"/>
        <v>0</v>
      </c>
      <c r="G208" s="631">
        <f t="shared" si="53"/>
        <v>397659.93199999997</v>
      </c>
      <c r="H208" s="631">
        <f t="shared" si="54"/>
        <v>111205.33500000001</v>
      </c>
      <c r="I208" s="631">
        <f t="shared" si="55"/>
        <v>45527.521000000001</v>
      </c>
      <c r="J208" s="104">
        <v>4881252.5889999997</v>
      </c>
      <c r="K208" s="104">
        <v>592623.63199999998</v>
      </c>
      <c r="L208" s="104">
        <v>439330.14399999997</v>
      </c>
      <c r="M208" s="114">
        <f t="shared" si="40"/>
        <v>6502179.9759999998</v>
      </c>
      <c r="N208" s="35">
        <f t="shared" si="41"/>
        <v>90.941905435193391</v>
      </c>
      <c r="O208" s="35">
        <f t="shared" si="42"/>
        <v>8.5262602703447534</v>
      </c>
      <c r="P208" s="35">
        <f t="shared" si="43"/>
        <v>0.53183429446186092</v>
      </c>
      <c r="Q208" s="35">
        <f t="shared" si="44"/>
        <v>0.24881322064260475</v>
      </c>
      <c r="R208" s="35">
        <f t="shared" si="45"/>
        <v>0.36483226581944644</v>
      </c>
      <c r="S208" s="35">
        <f t="shared" si="46"/>
        <v>0.36483226581944644</v>
      </c>
      <c r="T208" s="35"/>
      <c r="U208" s="35">
        <f t="shared" si="48"/>
        <v>0</v>
      </c>
      <c r="V208" s="35">
        <f t="shared" si="49"/>
        <v>0</v>
      </c>
      <c r="X208" s="104">
        <v>397659.93199999997</v>
      </c>
      <c r="Y208" s="104">
        <v>0</v>
      </c>
      <c r="Z208" s="104">
        <v>111205.33500000001</v>
      </c>
      <c r="AA208" s="104">
        <v>0</v>
      </c>
      <c r="AB208" s="104">
        <v>45527.521000000001</v>
      </c>
      <c r="AC208" s="104">
        <v>0</v>
      </c>
      <c r="AD208" s="104">
        <v>34580.822999999997</v>
      </c>
      <c r="AE208" s="104">
        <v>0</v>
      </c>
      <c r="AF208" s="104">
        <v>0</v>
      </c>
      <c r="AG208" s="104">
        <v>0</v>
      </c>
      <c r="AH208" s="104">
        <v>0</v>
      </c>
      <c r="AI208" s="104">
        <v>0</v>
      </c>
    </row>
    <row r="209" spans="1:35" ht="16" x14ac:dyDescent="0.2">
      <c r="A209" s="45" t="s">
        <v>914</v>
      </c>
      <c r="B209" t="s">
        <v>905</v>
      </c>
      <c r="C209" t="s">
        <v>904</v>
      </c>
      <c r="D209" s="631">
        <f t="shared" si="50"/>
        <v>112383.266</v>
      </c>
      <c r="E209" s="631">
        <f t="shared" si="51"/>
        <v>0</v>
      </c>
      <c r="F209" s="631">
        <f t="shared" si="52"/>
        <v>0</v>
      </c>
      <c r="G209" s="631">
        <f t="shared" si="53"/>
        <v>996223.58600000001</v>
      </c>
      <c r="H209" s="631">
        <f t="shared" si="54"/>
        <v>218395.26300000001</v>
      </c>
      <c r="I209" s="631">
        <f t="shared" si="55"/>
        <v>113022.514</v>
      </c>
      <c r="J209" s="104">
        <v>10723837.023</v>
      </c>
      <c r="K209" s="104">
        <v>957990.11899999995</v>
      </c>
      <c r="L209" s="104">
        <v>630527.12100000004</v>
      </c>
      <c r="M209" s="114">
        <f t="shared" si="40"/>
        <v>13752378.892000001</v>
      </c>
      <c r="N209" s="35">
        <f t="shared" si="41"/>
        <v>89.528905214808404</v>
      </c>
      <c r="O209" s="35">
        <f t="shared" si="42"/>
        <v>9.6539033241173424</v>
      </c>
      <c r="P209" s="35">
        <f t="shared" si="43"/>
        <v>0.81719146107423857</v>
      </c>
      <c r="Q209" s="35">
        <f t="shared" si="44"/>
        <v>0.18022908646061916</v>
      </c>
      <c r="R209" s="35">
        <f t="shared" si="45"/>
        <v>0.33475929824581702</v>
      </c>
      <c r="S209" s="35">
        <f t="shared" si="46"/>
        <v>0.33475929824581702</v>
      </c>
      <c r="T209" s="35"/>
      <c r="U209" s="35">
        <f t="shared" si="48"/>
        <v>0</v>
      </c>
      <c r="V209" s="35">
        <f t="shared" si="49"/>
        <v>0</v>
      </c>
      <c r="X209" s="104">
        <v>996223.58600000001</v>
      </c>
      <c r="Y209" s="104">
        <v>0</v>
      </c>
      <c r="Z209" s="104">
        <v>218395.26300000001</v>
      </c>
      <c r="AA209" s="104">
        <v>0</v>
      </c>
      <c r="AB209" s="104">
        <v>113022.514</v>
      </c>
      <c r="AC209" s="104">
        <v>0</v>
      </c>
      <c r="AD209" s="104">
        <v>112383.266</v>
      </c>
      <c r="AE209" s="104">
        <v>0</v>
      </c>
      <c r="AF209" s="104">
        <v>0</v>
      </c>
      <c r="AG209" s="104">
        <v>0</v>
      </c>
      <c r="AH209" s="104">
        <v>0</v>
      </c>
      <c r="AI209" s="104">
        <v>0</v>
      </c>
    </row>
    <row r="210" spans="1:35" ht="16" x14ac:dyDescent="0.2">
      <c r="A210" s="45" t="s">
        <v>914</v>
      </c>
      <c r="B210" t="s">
        <v>905</v>
      </c>
      <c r="C210" t="s">
        <v>904</v>
      </c>
      <c r="D210" s="631">
        <f t="shared" si="50"/>
        <v>78192.657000000007</v>
      </c>
      <c r="E210" s="631">
        <f t="shared" si="51"/>
        <v>0</v>
      </c>
      <c r="F210" s="631">
        <f t="shared" si="52"/>
        <v>0</v>
      </c>
      <c r="G210" s="631">
        <f t="shared" si="53"/>
        <v>954598.72600000002</v>
      </c>
      <c r="H210" s="631">
        <f t="shared" si="54"/>
        <v>163541.606</v>
      </c>
      <c r="I210" s="631">
        <f t="shared" si="55"/>
        <v>105276.274</v>
      </c>
      <c r="J210" s="104">
        <v>14159715.563999999</v>
      </c>
      <c r="K210" s="104">
        <v>1183424.5649999999</v>
      </c>
      <c r="L210" s="104">
        <v>1061764.564</v>
      </c>
      <c r="M210" s="114">
        <f t="shared" si="40"/>
        <v>17706513.956</v>
      </c>
      <c r="N210" s="35">
        <f t="shared" si="41"/>
        <v>92.648980673245731</v>
      </c>
      <c r="O210" s="35">
        <f t="shared" si="42"/>
        <v>6.9094154221443178</v>
      </c>
      <c r="P210" s="35">
        <f t="shared" si="43"/>
        <v>0.44160390460994031</v>
      </c>
      <c r="Q210" s="35">
        <f t="shared" si="44"/>
        <v>0.20158323104498638</v>
      </c>
      <c r="R210" s="35">
        <f t="shared" si="45"/>
        <v>0.30577822155211126</v>
      </c>
      <c r="S210" s="35">
        <f t="shared" si="46"/>
        <v>0.30577822155211126</v>
      </c>
      <c r="T210" s="35"/>
      <c r="U210" s="35">
        <f t="shared" si="48"/>
        <v>0</v>
      </c>
      <c r="V210" s="35">
        <f t="shared" si="49"/>
        <v>0</v>
      </c>
      <c r="X210" s="104">
        <v>954598.72600000002</v>
      </c>
      <c r="Y210" s="104">
        <v>0</v>
      </c>
      <c r="Z210" s="104">
        <v>163541.606</v>
      </c>
      <c r="AA210" s="104">
        <v>0</v>
      </c>
      <c r="AB210" s="104">
        <v>105276.274</v>
      </c>
      <c r="AC210" s="104">
        <v>0</v>
      </c>
      <c r="AD210" s="104">
        <v>78192.657000000007</v>
      </c>
      <c r="AE210" s="104">
        <v>0</v>
      </c>
      <c r="AF210" s="104">
        <v>0</v>
      </c>
      <c r="AG210" s="104">
        <v>0</v>
      </c>
      <c r="AH210" s="104">
        <v>0</v>
      </c>
      <c r="AI210" s="104">
        <v>0</v>
      </c>
    </row>
    <row r="211" spans="1:35" ht="16" x14ac:dyDescent="0.2">
      <c r="A211" s="45" t="s">
        <v>914</v>
      </c>
      <c r="B211" t="s">
        <v>905</v>
      </c>
      <c r="C211" t="s">
        <v>904</v>
      </c>
      <c r="D211" s="631">
        <f t="shared" si="50"/>
        <v>153851.81</v>
      </c>
      <c r="E211" s="631">
        <f t="shared" si="51"/>
        <v>0</v>
      </c>
      <c r="F211" s="631">
        <f t="shared" si="52"/>
        <v>0</v>
      </c>
      <c r="G211" s="631">
        <f t="shared" si="53"/>
        <v>1953747.6969999999</v>
      </c>
      <c r="H211" s="631">
        <f t="shared" si="54"/>
        <v>225792.304</v>
      </c>
      <c r="I211" s="631">
        <f t="shared" si="55"/>
        <v>118498.163</v>
      </c>
      <c r="J211" s="104">
        <v>25555711.546</v>
      </c>
      <c r="K211" s="104">
        <v>1305380.943</v>
      </c>
      <c r="L211" s="104">
        <v>894920.92700000003</v>
      </c>
      <c r="M211" s="114">
        <f t="shared" si="40"/>
        <v>30207903.390000001</v>
      </c>
      <c r="N211" s="35">
        <f t="shared" si="41"/>
        <v>91.883283184718906</v>
      </c>
      <c r="O211" s="35">
        <f t="shared" si="42"/>
        <v>7.6074070230267647</v>
      </c>
      <c r="P211" s="35">
        <f t="shared" si="43"/>
        <v>0.50930979225433759</v>
      </c>
      <c r="Q211" s="35">
        <f t="shared" si="44"/>
        <v>0.11151539490234408</v>
      </c>
      <c r="R211" s="35">
        <f t="shared" si="45"/>
        <v>0.20138422296454078</v>
      </c>
      <c r="S211" s="35">
        <f t="shared" si="46"/>
        <v>0.20138422296454078</v>
      </c>
      <c r="T211" s="35"/>
      <c r="U211" s="35">
        <f t="shared" si="48"/>
        <v>0</v>
      </c>
      <c r="V211" s="35">
        <f t="shared" si="49"/>
        <v>0</v>
      </c>
      <c r="X211" s="104">
        <v>1953747.6969999999</v>
      </c>
      <c r="Y211" s="104">
        <v>0</v>
      </c>
      <c r="Z211" s="104">
        <v>225792.304</v>
      </c>
      <c r="AA211" s="104">
        <v>0</v>
      </c>
      <c r="AB211" s="104">
        <v>118498.163</v>
      </c>
      <c r="AC211" s="104">
        <v>0</v>
      </c>
      <c r="AD211" s="104">
        <v>153851.81</v>
      </c>
      <c r="AE211" s="104">
        <v>0</v>
      </c>
      <c r="AF211" s="104">
        <v>0</v>
      </c>
      <c r="AG211" s="104">
        <v>0</v>
      </c>
      <c r="AH211" s="104">
        <v>0</v>
      </c>
      <c r="AI211" s="104">
        <v>0</v>
      </c>
    </row>
    <row r="212" spans="1:35" ht="16" x14ac:dyDescent="0.2">
      <c r="A212" s="45" t="s">
        <v>914</v>
      </c>
      <c r="B212" t="s">
        <v>905</v>
      </c>
      <c r="C212" t="s">
        <v>904</v>
      </c>
      <c r="D212" s="631">
        <f t="shared" si="50"/>
        <v>122583.736</v>
      </c>
      <c r="E212" s="631">
        <f t="shared" si="51"/>
        <v>0</v>
      </c>
      <c r="F212" s="631">
        <f t="shared" si="52"/>
        <v>0</v>
      </c>
      <c r="G212" s="631">
        <f t="shared" si="53"/>
        <v>1850197.8019999999</v>
      </c>
      <c r="H212" s="631">
        <f t="shared" si="54"/>
        <v>212265.08499999999</v>
      </c>
      <c r="I212" s="631">
        <f t="shared" si="55"/>
        <v>115180.35400000001</v>
      </c>
      <c r="J212" s="104">
        <v>31109549.129000001</v>
      </c>
      <c r="K212" s="104">
        <v>1873478.2220000001</v>
      </c>
      <c r="L212" s="104">
        <v>1256205.291</v>
      </c>
      <c r="M212" s="114">
        <f t="shared" si="40"/>
        <v>36539459.619000003</v>
      </c>
      <c r="N212" s="35">
        <f t="shared" si="41"/>
        <v>93.704813916284849</v>
      </c>
      <c r="O212" s="35">
        <f t="shared" si="42"/>
        <v>5.9597029176306044</v>
      </c>
      <c r="P212" s="35">
        <f t="shared" si="43"/>
        <v>0.33548316608453127</v>
      </c>
      <c r="Q212" s="35">
        <f t="shared" si="44"/>
        <v>0.12809541761225082</v>
      </c>
      <c r="R212" s="35">
        <f t="shared" si="45"/>
        <v>0.20325909435777961</v>
      </c>
      <c r="S212" s="35">
        <f t="shared" si="46"/>
        <v>0.20325909435777961</v>
      </c>
      <c r="T212" s="35"/>
      <c r="U212" s="35">
        <f t="shared" si="48"/>
        <v>0</v>
      </c>
      <c r="V212" s="35">
        <f t="shared" si="49"/>
        <v>0</v>
      </c>
      <c r="X212" s="104">
        <v>1850197.8019999999</v>
      </c>
      <c r="Y212" s="104">
        <v>0</v>
      </c>
      <c r="Z212" s="104">
        <v>212265.08499999999</v>
      </c>
      <c r="AA212" s="104">
        <v>0</v>
      </c>
      <c r="AB212" s="104">
        <v>115180.35400000001</v>
      </c>
      <c r="AC212" s="104">
        <v>0</v>
      </c>
      <c r="AD212" s="104">
        <v>122583.736</v>
      </c>
      <c r="AE212" s="104">
        <v>0</v>
      </c>
      <c r="AF212" s="104">
        <v>0</v>
      </c>
      <c r="AG212" s="104">
        <v>0</v>
      </c>
      <c r="AH212" s="104">
        <v>0</v>
      </c>
      <c r="AI212" s="104">
        <v>0</v>
      </c>
    </row>
    <row r="213" spans="1:35" ht="16" x14ac:dyDescent="0.2">
      <c r="A213" s="45" t="s">
        <v>914</v>
      </c>
      <c r="B213" t="s">
        <v>905</v>
      </c>
      <c r="C213" t="s">
        <v>904</v>
      </c>
      <c r="D213" s="631">
        <f t="shared" si="50"/>
        <v>127329.29700000001</v>
      </c>
      <c r="E213" s="631">
        <f t="shared" si="51"/>
        <v>0</v>
      </c>
      <c r="F213" s="631">
        <f t="shared" si="52"/>
        <v>0</v>
      </c>
      <c r="G213" s="631">
        <f t="shared" si="53"/>
        <v>1102604.5519999999</v>
      </c>
      <c r="H213" s="631">
        <f t="shared" si="54"/>
        <v>100010.26</v>
      </c>
      <c r="I213" s="631">
        <f t="shared" si="55"/>
        <v>60247.86</v>
      </c>
      <c r="J213" s="104">
        <v>12950005.787</v>
      </c>
      <c r="K213" s="104">
        <v>764691.84299999999</v>
      </c>
      <c r="L213" s="104">
        <v>494024.70199999999</v>
      </c>
      <c r="M213" s="114">
        <f t="shared" si="40"/>
        <v>15598914.301000001</v>
      </c>
      <c r="N213" s="35">
        <f t="shared" si="41"/>
        <v>91.087892771416278</v>
      </c>
      <c r="O213" s="35">
        <f t="shared" si="42"/>
        <v>8.0958369770583438</v>
      </c>
      <c r="P213" s="35">
        <f t="shared" si="43"/>
        <v>0.81627025152537247</v>
      </c>
      <c r="Q213" s="35">
        <f t="shared" si="44"/>
        <v>0.12335671048005388</v>
      </c>
      <c r="R213" s="35">
        <f t="shared" si="45"/>
        <v>0.17460804320930945</v>
      </c>
      <c r="S213" s="35">
        <f t="shared" si="46"/>
        <v>0.17460804320930945</v>
      </c>
      <c r="T213" s="35"/>
      <c r="U213" s="35">
        <f t="shared" si="48"/>
        <v>0</v>
      </c>
      <c r="V213" s="35">
        <f t="shared" si="49"/>
        <v>0.15455044882561472</v>
      </c>
      <c r="X213" s="104">
        <v>1102604.5519999999</v>
      </c>
      <c r="Y213" s="104">
        <v>0</v>
      </c>
      <c r="Z213" s="104">
        <v>100010.26</v>
      </c>
      <c r="AA213" s="104">
        <v>0</v>
      </c>
      <c r="AB213" s="104">
        <v>60247.86</v>
      </c>
      <c r="AC213" s="104">
        <v>0</v>
      </c>
      <c r="AD213" s="104">
        <v>107650.497</v>
      </c>
      <c r="AE213" s="104">
        <v>19678.8</v>
      </c>
      <c r="AF213" s="104">
        <v>0</v>
      </c>
      <c r="AG213" s="104">
        <v>0</v>
      </c>
      <c r="AH213" s="104">
        <v>0</v>
      </c>
      <c r="AI213" s="104">
        <v>0</v>
      </c>
    </row>
    <row r="214" spans="1:35" x14ac:dyDescent="0.2">
      <c r="A214" s="45" t="s">
        <v>915</v>
      </c>
      <c r="B214" t="s">
        <v>905</v>
      </c>
      <c r="C214" t="s">
        <v>904</v>
      </c>
      <c r="D214" s="631">
        <f t="shared" ref="D214:D219" si="56">SUM(AD214:AE214)</f>
        <v>68772.84</v>
      </c>
      <c r="E214" s="631">
        <f t="shared" ref="E214:E219" si="57">SUM(AF214:AG214)</f>
        <v>0</v>
      </c>
      <c r="F214" s="631">
        <f t="shared" ref="F214:F219" si="58">SUM(AH214:AI214)</f>
        <v>0</v>
      </c>
      <c r="G214" s="631">
        <f t="shared" ref="G214:G219" si="59">SUM(X214:Y214)</f>
        <v>2154252.9440000001</v>
      </c>
      <c r="H214" s="631">
        <f t="shared" ref="H214:H219" si="60">SUM(Z214:AA214)</f>
        <v>123624.553</v>
      </c>
      <c r="I214" s="631">
        <f t="shared" ref="I214:I219" si="61">SUM(AB214:AC214)</f>
        <v>97345.416999999987</v>
      </c>
      <c r="J214" s="111">
        <v>168008704.678</v>
      </c>
      <c r="K214" s="111">
        <v>6214431.3039999995</v>
      </c>
      <c r="L214" s="111">
        <v>5614938.1220000004</v>
      </c>
      <c r="M214" s="114">
        <f t="shared" si="40"/>
        <v>182282069.85800001</v>
      </c>
      <c r="N214" s="35">
        <f t="shared" si="41"/>
        <v>98.659223172139804</v>
      </c>
      <c r="O214" s="35">
        <f t="shared" si="42"/>
        <v>1.3030480265285158</v>
      </c>
      <c r="P214" s="35">
        <f t="shared" si="43"/>
        <v>3.7728801331680557E-2</v>
      </c>
      <c r="Q214" s="35">
        <f t="shared" si="44"/>
        <v>9.7000079849120222E-2</v>
      </c>
      <c r="R214" s="35">
        <f t="shared" si="45"/>
        <v>0.13401495292243548</v>
      </c>
      <c r="S214" s="35">
        <f t="shared" si="46"/>
        <v>0.47238359470024943</v>
      </c>
      <c r="T214" s="35">
        <f t="shared" si="47"/>
        <v>1.2081776151793072E-2</v>
      </c>
      <c r="U214" s="35">
        <f t="shared" si="48"/>
        <v>0.73510168359718009</v>
      </c>
      <c r="V214" s="35">
        <f t="shared" si="49"/>
        <v>0</v>
      </c>
      <c r="X214" s="111">
        <v>418770.15500000003</v>
      </c>
      <c r="Y214" s="111">
        <v>1735482.7890000001</v>
      </c>
      <c r="Z214" s="111">
        <v>123624.553</v>
      </c>
      <c r="AA214" s="111">
        <v>0</v>
      </c>
      <c r="AB214" s="111">
        <v>86797.842999999993</v>
      </c>
      <c r="AC214" s="111">
        <v>10547.574000000001</v>
      </c>
      <c r="AD214" s="111">
        <v>68772.84</v>
      </c>
      <c r="AE214" s="111">
        <v>0</v>
      </c>
      <c r="AF214" s="111">
        <v>0</v>
      </c>
      <c r="AG214" s="111">
        <v>0</v>
      </c>
      <c r="AH214" s="111">
        <v>0</v>
      </c>
      <c r="AI214" s="111">
        <v>0</v>
      </c>
    </row>
    <row r="215" spans="1:35" x14ac:dyDescent="0.2">
      <c r="A215" s="45" t="s">
        <v>915</v>
      </c>
      <c r="B215" t="s">
        <v>905</v>
      </c>
      <c r="C215" t="s">
        <v>904</v>
      </c>
      <c r="D215" s="631">
        <f t="shared" si="56"/>
        <v>0</v>
      </c>
      <c r="E215" s="631">
        <f t="shared" si="57"/>
        <v>0</v>
      </c>
      <c r="F215" s="631">
        <f t="shared" si="58"/>
        <v>0</v>
      </c>
      <c r="G215" s="631">
        <f t="shared" si="59"/>
        <v>3418822.54</v>
      </c>
      <c r="H215" s="631">
        <f t="shared" si="60"/>
        <v>261255.997</v>
      </c>
      <c r="I215" s="631">
        <f t="shared" si="61"/>
        <v>135063.891</v>
      </c>
      <c r="J215" s="111">
        <v>352962478.41299999</v>
      </c>
      <c r="K215" s="111">
        <v>14254948.625</v>
      </c>
      <c r="L215" s="111">
        <v>7863585.4000000004</v>
      </c>
      <c r="M215" s="114">
        <f t="shared" si="40"/>
        <v>378896154.86599994</v>
      </c>
      <c r="N215" s="35">
        <f t="shared" si="41"/>
        <v>98.993090223006035</v>
      </c>
      <c r="O215" s="35">
        <f t="shared" si="42"/>
        <v>1.0069097769939785</v>
      </c>
      <c r="P215" s="35">
        <f t="shared" si="43"/>
        <v>0</v>
      </c>
      <c r="Q215" s="35">
        <f t="shared" si="44"/>
        <v>7.9935049844614511E-2</v>
      </c>
      <c r="R215" s="35">
        <f t="shared" si="45"/>
        <v>0.13928281552481009</v>
      </c>
      <c r="S215" s="35">
        <f t="shared" si="46"/>
        <v>0.13928281552481009</v>
      </c>
      <c r="T215" s="35"/>
      <c r="U215" s="35">
        <f t="shared" si="48"/>
        <v>0</v>
      </c>
      <c r="V215" s="35"/>
      <c r="X215" s="111">
        <v>3418822.54</v>
      </c>
      <c r="Y215" s="111">
        <v>0</v>
      </c>
      <c r="Z215" s="111">
        <v>261255.997</v>
      </c>
      <c r="AA215" s="111">
        <v>0</v>
      </c>
      <c r="AB215" s="111">
        <v>135063.891</v>
      </c>
      <c r="AC215" s="111">
        <v>0</v>
      </c>
      <c r="AD215" s="111">
        <v>0</v>
      </c>
      <c r="AE215" s="111">
        <v>0</v>
      </c>
      <c r="AF215" s="111">
        <v>0</v>
      </c>
      <c r="AG215" s="111">
        <v>0</v>
      </c>
      <c r="AH215" s="111">
        <v>0</v>
      </c>
      <c r="AI215" s="111">
        <v>0</v>
      </c>
    </row>
    <row r="216" spans="1:35" x14ac:dyDescent="0.2">
      <c r="A216" s="45" t="s">
        <v>915</v>
      </c>
      <c r="B216" t="s">
        <v>905</v>
      </c>
      <c r="C216" t="s">
        <v>904</v>
      </c>
      <c r="D216" s="631">
        <f t="shared" si="56"/>
        <v>1937656.2679999999</v>
      </c>
      <c r="E216" s="631">
        <f t="shared" si="57"/>
        <v>0</v>
      </c>
      <c r="F216" s="631">
        <f t="shared" si="58"/>
        <v>0</v>
      </c>
      <c r="G216" s="631">
        <f t="shared" si="59"/>
        <v>5181462.6229999997</v>
      </c>
      <c r="H216" s="631">
        <f t="shared" si="60"/>
        <v>300288.391</v>
      </c>
      <c r="I216" s="631">
        <f t="shared" si="61"/>
        <v>405716.76299999998</v>
      </c>
      <c r="J216" s="111">
        <v>180647905.80500001</v>
      </c>
      <c r="K216" s="111">
        <v>13504266.379000001</v>
      </c>
      <c r="L216" s="111">
        <v>10590851.629000001</v>
      </c>
      <c r="M216" s="114">
        <f t="shared" si="40"/>
        <v>212568147.85800001</v>
      </c>
      <c r="N216" s="35">
        <f t="shared" si="41"/>
        <v>96.318769239958129</v>
      </c>
      <c r="O216" s="35">
        <f t="shared" si="42"/>
        <v>2.769684845225707</v>
      </c>
      <c r="P216" s="35">
        <f t="shared" si="43"/>
        <v>0.91154591481617231</v>
      </c>
      <c r="Q216" s="35">
        <f t="shared" si="44"/>
        <v>0.16941221728111275</v>
      </c>
      <c r="R216" s="35">
        <f t="shared" si="45"/>
        <v>0.18882853530732793</v>
      </c>
      <c r="S216" s="35">
        <f t="shared" si="46"/>
        <v>0.18882853530732793</v>
      </c>
      <c r="T216" s="35"/>
      <c r="U216" s="35">
        <f t="shared" si="48"/>
        <v>0</v>
      </c>
      <c r="V216" s="35">
        <f t="shared" si="49"/>
        <v>0.1920545987158544</v>
      </c>
      <c r="X216" s="111">
        <v>5181462.6229999997</v>
      </c>
      <c r="Y216" s="111">
        <v>0</v>
      </c>
      <c r="Z216" s="111">
        <v>300288.391</v>
      </c>
      <c r="AA216" s="111">
        <v>0</v>
      </c>
      <c r="AB216" s="111">
        <v>405716.76299999998</v>
      </c>
      <c r="AC216" s="111">
        <v>0</v>
      </c>
      <c r="AD216" s="111">
        <v>1565520.4709999999</v>
      </c>
      <c r="AE216" s="111">
        <v>372135.79700000002</v>
      </c>
      <c r="AF216" s="111">
        <v>0</v>
      </c>
      <c r="AG216" s="111">
        <v>0</v>
      </c>
      <c r="AH216" s="111">
        <v>0</v>
      </c>
      <c r="AI216" s="111">
        <v>0</v>
      </c>
    </row>
    <row r="217" spans="1:35" x14ac:dyDescent="0.2">
      <c r="A217" s="45" t="s">
        <v>915</v>
      </c>
      <c r="B217" t="s">
        <v>905</v>
      </c>
      <c r="C217" t="s">
        <v>904</v>
      </c>
      <c r="D217" s="631">
        <f t="shared" si="56"/>
        <v>2109536.165</v>
      </c>
      <c r="E217" s="631">
        <f t="shared" si="57"/>
        <v>69353.740999999995</v>
      </c>
      <c r="F217" s="631">
        <f t="shared" si="58"/>
        <v>0</v>
      </c>
      <c r="G217" s="631">
        <f t="shared" si="59"/>
        <v>6177833.9069999997</v>
      </c>
      <c r="H217" s="631">
        <f t="shared" si="60"/>
        <v>345702.24</v>
      </c>
      <c r="I217" s="631">
        <f t="shared" si="61"/>
        <v>333697.27100000001</v>
      </c>
      <c r="J217" s="111">
        <v>244323246.38</v>
      </c>
      <c r="K217" s="111">
        <v>20992059.451000001</v>
      </c>
      <c r="L217" s="111">
        <v>12112397.310000001</v>
      </c>
      <c r="M217" s="114">
        <f t="shared" si="40"/>
        <v>286463826.46499997</v>
      </c>
      <c r="N217" s="35">
        <f t="shared" si="41"/>
        <v>96.845631982401798</v>
      </c>
      <c r="O217" s="35">
        <f t="shared" si="42"/>
        <v>2.3937519450951736</v>
      </c>
      <c r="P217" s="35">
        <f t="shared" si="43"/>
        <v>0.76061607250303753</v>
      </c>
      <c r="Q217" s="35">
        <f t="shared" si="44"/>
        <v>0.16298608091066871</v>
      </c>
      <c r="R217" s="35">
        <f t="shared" si="45"/>
        <v>0.14774132951937383</v>
      </c>
      <c r="S217" s="35">
        <f t="shared" si="46"/>
        <v>0.11817848350968817</v>
      </c>
      <c r="T217" s="35">
        <f t="shared" si="47"/>
        <v>1</v>
      </c>
      <c r="U217" s="35">
        <f t="shared" si="48"/>
        <v>3.3524750141442544E-2</v>
      </c>
      <c r="V217" s="35">
        <f t="shared" si="49"/>
        <v>0.10869295109764028</v>
      </c>
      <c r="X217" s="111">
        <v>6177833.9069999997</v>
      </c>
      <c r="Y217" s="111">
        <v>0</v>
      </c>
      <c r="Z217" s="111">
        <v>115815.20299999999</v>
      </c>
      <c r="AA217" s="111">
        <v>229887.03700000001</v>
      </c>
      <c r="AB217" s="111">
        <v>333697.27100000001</v>
      </c>
      <c r="AC217" s="111">
        <v>0</v>
      </c>
      <c r="AD217" s="111">
        <v>1880935.7849999999</v>
      </c>
      <c r="AE217" s="111">
        <v>228600.38</v>
      </c>
      <c r="AF217" s="111">
        <v>61124.146999999997</v>
      </c>
      <c r="AG217" s="111">
        <v>8229.5939999999991</v>
      </c>
      <c r="AH217" s="111">
        <v>0</v>
      </c>
      <c r="AI217" s="111">
        <v>0</v>
      </c>
    </row>
    <row r="218" spans="1:35" x14ac:dyDescent="0.2">
      <c r="A218" s="45" t="s">
        <v>915</v>
      </c>
      <c r="B218" t="s">
        <v>905</v>
      </c>
      <c r="C218" t="s">
        <v>904</v>
      </c>
      <c r="D218" s="631">
        <f t="shared" si="56"/>
        <v>501551.29099999997</v>
      </c>
      <c r="E218" s="631">
        <f t="shared" si="57"/>
        <v>0</v>
      </c>
      <c r="F218" s="631">
        <f t="shared" si="58"/>
        <v>0</v>
      </c>
      <c r="G218" s="631">
        <f t="shared" si="59"/>
        <v>1991768.0349999999</v>
      </c>
      <c r="H218" s="631">
        <f t="shared" si="60"/>
        <v>114392.011</v>
      </c>
      <c r="I218" s="631">
        <f t="shared" si="61"/>
        <v>101287.97500000001</v>
      </c>
      <c r="J218" s="111">
        <v>75343992.672999993</v>
      </c>
      <c r="K218" s="111">
        <v>5891737.4479999999</v>
      </c>
      <c r="L218" s="111">
        <v>3633621.7030000002</v>
      </c>
      <c r="M218" s="114">
        <f t="shared" si="40"/>
        <v>87578351.135999992</v>
      </c>
      <c r="N218" s="35">
        <f t="shared" si="41"/>
        <v>96.906770592434171</v>
      </c>
      <c r="O218" s="35">
        <f t="shared" si="42"/>
        <v>2.520540741366625</v>
      </c>
      <c r="P218" s="35">
        <f t="shared" si="43"/>
        <v>0.57268866619918823</v>
      </c>
      <c r="Q218" s="35">
        <f t="shared" si="44"/>
        <v>0.15504985688224387</v>
      </c>
      <c r="R218" s="35">
        <f t="shared" si="45"/>
        <v>0.14359022635396404</v>
      </c>
      <c r="S218" s="35">
        <f t="shared" si="46"/>
        <v>0.14359022635396404</v>
      </c>
      <c r="T218" s="35"/>
      <c r="U218" s="35">
        <f t="shared" si="48"/>
        <v>0</v>
      </c>
      <c r="V218" s="35">
        <f t="shared" si="49"/>
        <v>0.20540511977268541</v>
      </c>
      <c r="X218" s="111">
        <v>1991768.0349999999</v>
      </c>
      <c r="Y218" s="111">
        <v>0</v>
      </c>
      <c r="Z218" s="111">
        <v>114392.011</v>
      </c>
      <c r="AA218" s="111">
        <v>0</v>
      </c>
      <c r="AB218" s="111">
        <v>101287.97500000001</v>
      </c>
      <c r="AC218" s="111">
        <v>0</v>
      </c>
      <c r="AD218" s="111">
        <v>398530.08799999999</v>
      </c>
      <c r="AE218" s="111">
        <v>103021.20299999999</v>
      </c>
      <c r="AF218" s="111">
        <v>0</v>
      </c>
      <c r="AG218" s="111">
        <v>0</v>
      </c>
      <c r="AH218" s="111">
        <v>0</v>
      </c>
      <c r="AI218" s="111">
        <v>0</v>
      </c>
    </row>
    <row r="219" spans="1:35" x14ac:dyDescent="0.2">
      <c r="A219" s="45" t="s">
        <v>915</v>
      </c>
      <c r="B219" t="s">
        <v>905</v>
      </c>
      <c r="C219" t="s">
        <v>904</v>
      </c>
      <c r="D219" s="631">
        <f t="shared" si="56"/>
        <v>73762.612999999998</v>
      </c>
      <c r="E219" s="631">
        <f t="shared" si="57"/>
        <v>0</v>
      </c>
      <c r="F219" s="631">
        <f t="shared" si="58"/>
        <v>0</v>
      </c>
      <c r="G219" s="631">
        <f t="shared" si="59"/>
        <v>943062.16200000001</v>
      </c>
      <c r="H219" s="631">
        <f t="shared" si="60"/>
        <v>36254.404999999999</v>
      </c>
      <c r="I219" s="631">
        <f t="shared" si="61"/>
        <v>40647.978999999999</v>
      </c>
      <c r="J219" s="111">
        <v>24404840.436000001</v>
      </c>
      <c r="K219" s="111">
        <v>1634985.997</v>
      </c>
      <c r="L219" s="111">
        <v>1421157.425</v>
      </c>
      <c r="M219" s="114">
        <f t="shared" si="40"/>
        <v>28554711.017000001</v>
      </c>
      <c r="N219" s="35">
        <f t="shared" si="41"/>
        <v>96.169713787862008</v>
      </c>
      <c r="O219" s="35">
        <f t="shared" si="42"/>
        <v>3.5719659197137941</v>
      </c>
      <c r="P219" s="35">
        <f t="shared" si="43"/>
        <v>0.25832029242420118</v>
      </c>
      <c r="Q219" s="35">
        <f t="shared" si="44"/>
        <v>0.16304225916128862</v>
      </c>
      <c r="R219" s="35">
        <f t="shared" si="45"/>
        <v>0.11524945985720565</v>
      </c>
      <c r="S219" s="35">
        <f t="shared" si="46"/>
        <v>0.10067942897075494</v>
      </c>
      <c r="T219" s="35">
        <f t="shared" si="47"/>
        <v>1.1428618615430166</v>
      </c>
      <c r="U219" s="35">
        <f t="shared" si="48"/>
        <v>1.3980307507668996E-2</v>
      </c>
      <c r="V219" s="35">
        <f t="shared" si="49"/>
        <v>0.4858162359297114</v>
      </c>
      <c r="X219" s="111">
        <v>943062.16200000001</v>
      </c>
      <c r="Y219" s="111">
        <v>0</v>
      </c>
      <c r="Z219" s="111">
        <v>24032.114000000001</v>
      </c>
      <c r="AA219" s="111">
        <v>12222.290999999999</v>
      </c>
      <c r="AB219" s="111">
        <v>38610.851999999999</v>
      </c>
      <c r="AC219" s="111">
        <v>2037.127</v>
      </c>
      <c r="AD219" s="111">
        <v>37927.538</v>
      </c>
      <c r="AE219" s="111">
        <v>35835.074999999997</v>
      </c>
      <c r="AF219" s="111">
        <v>0</v>
      </c>
      <c r="AG219" s="111">
        <v>0</v>
      </c>
      <c r="AH219" s="111">
        <v>0</v>
      </c>
      <c r="AI219" s="111">
        <v>0</v>
      </c>
    </row>
    <row r="220" spans="1:35" x14ac:dyDescent="0.2">
      <c r="A220" s="110" t="s">
        <v>48</v>
      </c>
      <c r="B220" t="s">
        <v>905</v>
      </c>
      <c r="C220" t="s">
        <v>904</v>
      </c>
      <c r="D220" s="631">
        <f t="shared" ref="D220:D225" si="62">SUM(AD220:AE220)</f>
        <v>0</v>
      </c>
      <c r="E220" s="631">
        <f t="shared" ref="E220:E225" si="63">SUM(AF220:AG220)</f>
        <v>0</v>
      </c>
      <c r="F220" s="631">
        <f t="shared" ref="F220:F225" si="64">SUM(AH220:AI220)</f>
        <v>0</v>
      </c>
      <c r="G220" s="631">
        <f t="shared" ref="G220:G225" si="65">SUM(X220:Y220)</f>
        <v>486274.41599999997</v>
      </c>
      <c r="H220" s="631">
        <f t="shared" ref="H220:H225" si="66">SUM(Z220:AA220)</f>
        <v>0</v>
      </c>
      <c r="I220" s="631">
        <f t="shared" ref="I220:I225" si="67">SUM(AB220:AC220)</f>
        <v>0</v>
      </c>
      <c r="J220" s="111">
        <v>11300597.265000001</v>
      </c>
      <c r="K220" s="111">
        <v>208297.21100000001</v>
      </c>
      <c r="L220" s="111">
        <v>156144.30100000001</v>
      </c>
      <c r="M220" s="114">
        <f t="shared" si="40"/>
        <v>12151313.193</v>
      </c>
      <c r="N220" s="35">
        <f t="shared" si="41"/>
        <v>95.998173956374302</v>
      </c>
      <c r="O220" s="35">
        <f t="shared" si="42"/>
        <v>4.0018260436257034</v>
      </c>
      <c r="P220" s="35">
        <f t="shared" si="43"/>
        <v>0</v>
      </c>
      <c r="Q220" s="35">
        <f t="shared" si="44"/>
        <v>4.4627868192469361E-2</v>
      </c>
      <c r="R220" s="35">
        <f t="shared" si="45"/>
        <v>0</v>
      </c>
      <c r="S220" s="35">
        <f t="shared" si="46"/>
        <v>0</v>
      </c>
      <c r="T220" s="35">
        <f t="shared" si="47"/>
        <v>0</v>
      </c>
      <c r="U220" s="35">
        <f t="shared" si="48"/>
        <v>0.56001970500541409</v>
      </c>
      <c r="V220" s="35"/>
      <c r="X220" s="111">
        <v>213951.16099999999</v>
      </c>
      <c r="Y220" s="111">
        <v>272323.255</v>
      </c>
      <c r="Z220" s="111">
        <v>0</v>
      </c>
      <c r="AA220" s="111">
        <v>0</v>
      </c>
      <c r="AB220" s="111">
        <v>0</v>
      </c>
      <c r="AC220" s="111">
        <v>0</v>
      </c>
      <c r="AD220" s="111">
        <v>0</v>
      </c>
      <c r="AE220" s="111">
        <v>0</v>
      </c>
      <c r="AF220" s="111">
        <v>0</v>
      </c>
      <c r="AG220" s="111">
        <v>0</v>
      </c>
      <c r="AH220" s="111">
        <v>0</v>
      </c>
      <c r="AI220" s="111">
        <v>0</v>
      </c>
    </row>
    <row r="221" spans="1:35" x14ac:dyDescent="0.2">
      <c r="A221" s="110" t="s">
        <v>48</v>
      </c>
      <c r="B221" t="s">
        <v>905</v>
      </c>
      <c r="C221" t="s">
        <v>904</v>
      </c>
      <c r="D221" s="631">
        <f t="shared" si="62"/>
        <v>0</v>
      </c>
      <c r="E221" s="631">
        <f t="shared" si="63"/>
        <v>0</v>
      </c>
      <c r="F221" s="631">
        <f t="shared" si="64"/>
        <v>0</v>
      </c>
      <c r="G221" s="631">
        <f t="shared" si="65"/>
        <v>146384.65600000002</v>
      </c>
      <c r="H221" s="631">
        <f t="shared" si="66"/>
        <v>0</v>
      </c>
      <c r="I221" s="631">
        <f t="shared" si="67"/>
        <v>0</v>
      </c>
      <c r="J221" s="111">
        <v>2473716.7289999998</v>
      </c>
      <c r="K221" s="111">
        <v>641813.32999999996</v>
      </c>
      <c r="L221" s="111">
        <v>11031.96</v>
      </c>
      <c r="M221" s="114">
        <f t="shared" si="40"/>
        <v>3272946.6749999998</v>
      </c>
      <c r="N221" s="35">
        <f t="shared" si="41"/>
        <v>95.527435349981687</v>
      </c>
      <c r="O221" s="35">
        <f t="shared" si="42"/>
        <v>4.4725646500183212</v>
      </c>
      <c r="P221" s="35">
        <f t="shared" si="43"/>
        <v>0</v>
      </c>
      <c r="Q221" s="35">
        <f t="shared" si="44"/>
        <v>0.21233458538984448</v>
      </c>
      <c r="R221" s="35">
        <f t="shared" si="45"/>
        <v>0</v>
      </c>
      <c r="S221" s="35">
        <f t="shared" si="46"/>
        <v>0</v>
      </c>
      <c r="T221" s="35">
        <f t="shared" si="47"/>
        <v>0</v>
      </c>
      <c r="U221" s="35">
        <f t="shared" si="48"/>
        <v>0.83815654832020092</v>
      </c>
      <c r="V221" s="35"/>
      <c r="X221" s="111">
        <v>23691.398000000001</v>
      </c>
      <c r="Y221" s="111">
        <v>122693.258</v>
      </c>
      <c r="Z221" s="111">
        <v>0</v>
      </c>
      <c r="AA221" s="111">
        <v>0</v>
      </c>
      <c r="AB221" s="111">
        <v>0</v>
      </c>
      <c r="AC221" s="111">
        <v>0</v>
      </c>
      <c r="AD221" s="111">
        <v>0</v>
      </c>
      <c r="AE221" s="111">
        <v>0</v>
      </c>
      <c r="AF221" s="111">
        <v>0</v>
      </c>
      <c r="AG221" s="111">
        <v>0</v>
      </c>
      <c r="AH221" s="111">
        <v>0</v>
      </c>
      <c r="AI221" s="111">
        <v>0</v>
      </c>
    </row>
    <row r="222" spans="1:35" x14ac:dyDescent="0.2">
      <c r="A222" s="110" t="s">
        <v>48</v>
      </c>
      <c r="B222" t="s">
        <v>905</v>
      </c>
      <c r="C222" t="s">
        <v>904</v>
      </c>
      <c r="D222" s="631">
        <f t="shared" si="62"/>
        <v>0</v>
      </c>
      <c r="E222" s="631">
        <f t="shared" si="63"/>
        <v>0</v>
      </c>
      <c r="F222" s="631">
        <f t="shared" si="64"/>
        <v>0</v>
      </c>
      <c r="G222" s="631">
        <f t="shared" si="65"/>
        <v>337122.33299999998</v>
      </c>
      <c r="H222" s="631">
        <f t="shared" si="66"/>
        <v>0</v>
      </c>
      <c r="I222" s="631">
        <f t="shared" si="67"/>
        <v>0</v>
      </c>
      <c r="J222" s="111">
        <v>11823486.593</v>
      </c>
      <c r="K222" s="111">
        <v>789075.21499999997</v>
      </c>
      <c r="L222" s="111">
        <v>72792.63</v>
      </c>
      <c r="M222" s="114">
        <f t="shared" si="40"/>
        <v>13022476.771000002</v>
      </c>
      <c r="N222" s="35">
        <f t="shared" si="41"/>
        <v>97.411227227137431</v>
      </c>
      <c r="O222" s="35">
        <f t="shared" si="42"/>
        <v>2.5887727728625634</v>
      </c>
      <c r="P222" s="35">
        <f t="shared" si="43"/>
        <v>0</v>
      </c>
      <c r="Q222" s="35">
        <f t="shared" si="44"/>
        <v>7.3680280639234583E-2</v>
      </c>
      <c r="R222" s="35">
        <f t="shared" si="45"/>
        <v>0</v>
      </c>
      <c r="S222" s="35">
        <f t="shared" si="46"/>
        <v>0</v>
      </c>
      <c r="T222" s="35">
        <f t="shared" si="47"/>
        <v>0</v>
      </c>
      <c r="U222" s="35">
        <f t="shared" si="48"/>
        <v>0.82234425566816427</v>
      </c>
      <c r="V222" s="35"/>
      <c r="X222" s="111">
        <v>59891.718999999997</v>
      </c>
      <c r="Y222" s="111">
        <v>277230.614</v>
      </c>
      <c r="Z222" s="111">
        <v>0</v>
      </c>
      <c r="AA222" s="111">
        <v>0</v>
      </c>
      <c r="AB222" s="111">
        <v>0</v>
      </c>
      <c r="AC222" s="111">
        <v>0</v>
      </c>
      <c r="AD222" s="111">
        <v>0</v>
      </c>
      <c r="AE222" s="111">
        <v>0</v>
      </c>
      <c r="AF222" s="111">
        <v>0</v>
      </c>
      <c r="AG222" s="111">
        <v>0</v>
      </c>
      <c r="AH222" s="111">
        <v>0</v>
      </c>
      <c r="AI222" s="111">
        <v>0</v>
      </c>
    </row>
    <row r="223" spans="1:35" x14ac:dyDescent="0.2">
      <c r="A223" s="110" t="s">
        <v>48</v>
      </c>
      <c r="B223" t="s">
        <v>905</v>
      </c>
      <c r="C223" t="s">
        <v>904</v>
      </c>
      <c r="D223" s="631">
        <f t="shared" si="62"/>
        <v>0</v>
      </c>
      <c r="E223" s="631">
        <f t="shared" si="63"/>
        <v>0</v>
      </c>
      <c r="F223" s="631">
        <f t="shared" si="64"/>
        <v>0</v>
      </c>
      <c r="G223" s="631">
        <f t="shared" si="65"/>
        <v>2575928.2430000002</v>
      </c>
      <c r="H223" s="631">
        <f t="shared" si="66"/>
        <v>0</v>
      </c>
      <c r="I223" s="631">
        <f t="shared" si="67"/>
        <v>0</v>
      </c>
      <c r="J223" s="308">
        <v>44035725.517999999</v>
      </c>
      <c r="K223" s="308">
        <v>6450948.7970000003</v>
      </c>
      <c r="L223" s="308">
        <v>152756.505</v>
      </c>
      <c r="M223" s="114">
        <f t="shared" si="40"/>
        <v>53215359.063000001</v>
      </c>
      <c r="N223" s="35">
        <f t="shared" si="41"/>
        <v>95.159427112104154</v>
      </c>
      <c r="O223" s="35">
        <f t="shared" si="42"/>
        <v>4.8405728878958412</v>
      </c>
      <c r="P223" s="35">
        <f t="shared" si="43"/>
        <v>0</v>
      </c>
      <c r="Q223" s="35">
        <f t="shared" si="44"/>
        <v>0.13342294132444199</v>
      </c>
      <c r="R223" s="35">
        <f t="shared" si="45"/>
        <v>0</v>
      </c>
      <c r="S223" s="35">
        <f t="shared" si="46"/>
        <v>0</v>
      </c>
      <c r="T223" s="35">
        <f t="shared" si="47"/>
        <v>0</v>
      </c>
      <c r="U223" s="35">
        <f t="shared" si="48"/>
        <v>0.92181467028544084</v>
      </c>
      <c r="V223" s="35"/>
      <c r="X223" s="308">
        <v>201399.799</v>
      </c>
      <c r="Y223" s="308">
        <v>2374528.4440000001</v>
      </c>
      <c r="Z223" s="308">
        <v>0</v>
      </c>
      <c r="AA223" s="308">
        <v>0</v>
      </c>
      <c r="AB223" s="308">
        <v>0</v>
      </c>
      <c r="AC223" s="308">
        <v>0</v>
      </c>
      <c r="AD223" s="308">
        <v>0</v>
      </c>
      <c r="AE223" s="308">
        <v>0</v>
      </c>
      <c r="AF223" s="308">
        <v>0</v>
      </c>
      <c r="AG223" s="308">
        <v>0</v>
      </c>
      <c r="AH223" s="308">
        <v>0</v>
      </c>
      <c r="AI223" s="308">
        <v>0</v>
      </c>
    </row>
    <row r="224" spans="1:35" x14ac:dyDescent="0.2">
      <c r="A224" s="110" t="s">
        <v>48</v>
      </c>
      <c r="B224" t="s">
        <v>905</v>
      </c>
      <c r="C224" t="s">
        <v>904</v>
      </c>
      <c r="D224" s="631">
        <f t="shared" si="62"/>
        <v>0</v>
      </c>
      <c r="E224" s="631">
        <f t="shared" si="63"/>
        <v>0</v>
      </c>
      <c r="F224" s="631">
        <f t="shared" si="64"/>
        <v>0</v>
      </c>
      <c r="G224" s="631">
        <f t="shared" si="65"/>
        <v>730023.91599999997</v>
      </c>
      <c r="H224" s="631">
        <f t="shared" si="66"/>
        <v>0</v>
      </c>
      <c r="I224" s="631">
        <f t="shared" si="67"/>
        <v>0</v>
      </c>
      <c r="J224" s="308">
        <v>10444038.460999999</v>
      </c>
      <c r="K224" s="308">
        <v>1877099.4280000001</v>
      </c>
      <c r="L224" s="308">
        <v>150469.106</v>
      </c>
      <c r="M224" s="114">
        <f t="shared" si="40"/>
        <v>13201630.910999998</v>
      </c>
      <c r="N224" s="35">
        <f t="shared" si="41"/>
        <v>94.47019901615549</v>
      </c>
      <c r="O224" s="35">
        <f t="shared" si="42"/>
        <v>5.5298009838445186</v>
      </c>
      <c r="P224" s="35">
        <f t="shared" si="43"/>
        <v>0</v>
      </c>
      <c r="Q224" s="35">
        <f t="shared" si="44"/>
        <v>0.17463969485834493</v>
      </c>
      <c r="R224" s="35">
        <f t="shared" si="45"/>
        <v>0</v>
      </c>
      <c r="S224" s="35">
        <f t="shared" si="46"/>
        <v>0</v>
      </c>
      <c r="T224" s="35">
        <f t="shared" si="47"/>
        <v>0</v>
      </c>
      <c r="U224" s="35">
        <f t="shared" si="48"/>
        <v>0.74809323507149317</v>
      </c>
      <c r="V224" s="35"/>
      <c r="X224" s="308">
        <v>183897.96299999999</v>
      </c>
      <c r="Y224" s="308">
        <v>546125.95299999998</v>
      </c>
      <c r="Z224" s="308">
        <v>0</v>
      </c>
      <c r="AA224" s="308">
        <v>0</v>
      </c>
      <c r="AB224" s="308">
        <v>0</v>
      </c>
      <c r="AC224" s="308">
        <v>0</v>
      </c>
      <c r="AD224" s="308">
        <v>0</v>
      </c>
      <c r="AE224" s="308">
        <v>0</v>
      </c>
      <c r="AF224" s="308">
        <v>0</v>
      </c>
      <c r="AG224" s="308">
        <v>0</v>
      </c>
      <c r="AH224" s="308">
        <v>0</v>
      </c>
      <c r="AI224" s="308">
        <v>0</v>
      </c>
    </row>
    <row r="225" spans="1:35" x14ac:dyDescent="0.2">
      <c r="A225" s="110" t="s">
        <v>48</v>
      </c>
      <c r="B225" t="s">
        <v>905</v>
      </c>
      <c r="C225" t="s">
        <v>904</v>
      </c>
      <c r="D225" s="631">
        <f t="shared" si="62"/>
        <v>0</v>
      </c>
      <c r="E225" s="631">
        <f t="shared" si="63"/>
        <v>0</v>
      </c>
      <c r="F225" s="631">
        <f t="shared" si="64"/>
        <v>0</v>
      </c>
      <c r="G225" s="631">
        <f t="shared" si="65"/>
        <v>1797440.8840000001</v>
      </c>
      <c r="H225" s="631">
        <f t="shared" si="66"/>
        <v>0</v>
      </c>
      <c r="I225" s="631">
        <f t="shared" si="67"/>
        <v>0</v>
      </c>
      <c r="J225" s="308">
        <v>37708150.221000001</v>
      </c>
      <c r="K225" s="308">
        <v>2486270.233</v>
      </c>
      <c r="L225" s="308">
        <v>261105.54399999999</v>
      </c>
      <c r="M225" s="114">
        <f t="shared" si="40"/>
        <v>42252966.882000007</v>
      </c>
      <c r="N225" s="35">
        <f t="shared" si="41"/>
        <v>95.74600077428947</v>
      </c>
      <c r="O225" s="35">
        <f t="shared" si="42"/>
        <v>4.2539992257105137</v>
      </c>
      <c r="P225" s="35">
        <f t="shared" si="43"/>
        <v>0</v>
      </c>
      <c r="Q225" s="35">
        <f t="shared" si="44"/>
        <v>7.4365151528340778E-2</v>
      </c>
      <c r="R225" s="35">
        <f t="shared" si="45"/>
        <v>0</v>
      </c>
      <c r="S225" s="35">
        <f t="shared" si="46"/>
        <v>0</v>
      </c>
      <c r="T225" s="35">
        <f t="shared" si="47"/>
        <v>0</v>
      </c>
      <c r="U225" s="35">
        <f t="shared" si="48"/>
        <v>0.51587512460298524</v>
      </c>
      <c r="V225" s="35"/>
      <c r="X225" s="308">
        <v>870185.84400000004</v>
      </c>
      <c r="Y225" s="308">
        <v>927255.04000000004</v>
      </c>
      <c r="Z225" s="308">
        <v>0</v>
      </c>
      <c r="AA225" s="308">
        <v>0</v>
      </c>
      <c r="AB225" s="308">
        <v>0</v>
      </c>
      <c r="AC225" s="308">
        <v>0</v>
      </c>
      <c r="AD225" s="308">
        <v>0</v>
      </c>
      <c r="AE225" s="308">
        <v>0</v>
      </c>
      <c r="AF225" s="308">
        <v>0</v>
      </c>
      <c r="AG225" s="308">
        <v>0</v>
      </c>
      <c r="AH225" s="308">
        <v>0</v>
      </c>
      <c r="AI225" s="308">
        <v>0</v>
      </c>
    </row>
    <row r="226" spans="1:35" x14ac:dyDescent="0.2">
      <c r="A226" s="110" t="s">
        <v>891</v>
      </c>
      <c r="B226" t="s">
        <v>902</v>
      </c>
      <c r="C226" t="s">
        <v>904</v>
      </c>
      <c r="D226" s="35">
        <f t="shared" ref="D226:D288" si="68">SUM(AD226:AE226)</f>
        <v>0.12</v>
      </c>
      <c r="E226" s="35">
        <f t="shared" ref="E226:E288" si="69">SUM(AF226:AG226)</f>
        <v>0</v>
      </c>
      <c r="F226" s="35">
        <f t="shared" ref="F226:F288" si="70">SUM(AH226:AI226)</f>
        <v>0</v>
      </c>
      <c r="G226" s="35">
        <f t="shared" ref="G226:G288" si="71">SUM(X226:Y226)</f>
        <v>0.17</v>
      </c>
      <c r="H226" s="35">
        <f t="shared" ref="H226:H288" si="72">SUM(Z226:AA226)</f>
        <v>0.02</v>
      </c>
      <c r="I226" s="35">
        <f t="shared" ref="I226:I288" si="73">SUM(AB226:AC226)</f>
        <v>0</v>
      </c>
      <c r="J226" s="128">
        <v>0.61</v>
      </c>
      <c r="K226" s="128">
        <v>0.06</v>
      </c>
      <c r="L226" s="128">
        <v>0.02</v>
      </c>
      <c r="M226" s="114">
        <f t="shared" si="40"/>
        <v>1</v>
      </c>
      <c r="N226" s="35">
        <f t="shared" si="41"/>
        <v>69</v>
      </c>
      <c r="O226" s="35">
        <f t="shared" si="42"/>
        <v>19</v>
      </c>
      <c r="P226" s="35">
        <f t="shared" si="43"/>
        <v>12</v>
      </c>
      <c r="Q226" s="35">
        <f t="shared" si="44"/>
        <v>0.14492753623188409</v>
      </c>
      <c r="R226" s="35">
        <f t="shared" si="45"/>
        <v>0.10526315789473684</v>
      </c>
      <c r="S226" s="35">
        <f t="shared" si="46"/>
        <v>6.6666666666666652E-2</v>
      </c>
      <c r="T226" s="35">
        <f t="shared" si="47"/>
        <v>0.25</v>
      </c>
      <c r="U226" s="35">
        <f t="shared" si="48"/>
        <v>0.21052631578947367</v>
      </c>
      <c r="V226" s="35">
        <f t="shared" si="49"/>
        <v>0.33333333333333337</v>
      </c>
      <c r="W226" s="35"/>
      <c r="X226" s="128">
        <v>0.14000000000000001</v>
      </c>
      <c r="Y226" s="128">
        <v>0.03</v>
      </c>
      <c r="Z226" s="128">
        <v>0.01</v>
      </c>
      <c r="AA226" s="128">
        <v>0.01</v>
      </c>
      <c r="AB226" s="128">
        <v>0</v>
      </c>
      <c r="AC226" s="128">
        <v>0</v>
      </c>
      <c r="AD226" s="128">
        <v>0.08</v>
      </c>
      <c r="AE226" s="128">
        <v>0.04</v>
      </c>
      <c r="AF226" s="128">
        <v>0</v>
      </c>
      <c r="AG226" s="128">
        <v>0</v>
      </c>
      <c r="AH226" s="128">
        <v>0</v>
      </c>
      <c r="AI226" s="128">
        <v>0</v>
      </c>
    </row>
    <row r="227" spans="1:35" x14ac:dyDescent="0.2">
      <c r="A227" s="110" t="s">
        <v>891</v>
      </c>
      <c r="B227" t="s">
        <v>902</v>
      </c>
      <c r="C227" t="s">
        <v>904</v>
      </c>
      <c r="D227" s="35">
        <f t="shared" si="68"/>
        <v>0.1</v>
      </c>
      <c r="E227" s="35">
        <f t="shared" si="69"/>
        <v>0</v>
      </c>
      <c r="F227" s="35">
        <f t="shared" si="70"/>
        <v>0</v>
      </c>
      <c r="G227" s="35">
        <f t="shared" si="71"/>
        <v>0.17</v>
      </c>
      <c r="H227" s="35">
        <f t="shared" si="72"/>
        <v>0.02</v>
      </c>
      <c r="I227" s="35">
        <f t="shared" si="73"/>
        <v>0</v>
      </c>
      <c r="J227" s="128">
        <v>0.64</v>
      </c>
      <c r="K227" s="128">
        <v>0.06</v>
      </c>
      <c r="L227" s="128">
        <v>0.03</v>
      </c>
      <c r="M227" s="114">
        <f t="shared" si="40"/>
        <v>1.02</v>
      </c>
      <c r="N227" s="35">
        <f t="shared" si="41"/>
        <v>71.568627450980387</v>
      </c>
      <c r="O227" s="35">
        <f t="shared" si="42"/>
        <v>18.627450980392158</v>
      </c>
      <c r="P227" s="35">
        <f t="shared" si="43"/>
        <v>9.8039215686274517</v>
      </c>
      <c r="Q227" s="35">
        <f t="shared" si="44"/>
        <v>0.16438356164383561</v>
      </c>
      <c r="R227" s="35">
        <f t="shared" si="45"/>
        <v>0.10526315789473684</v>
      </c>
      <c r="S227" s="35">
        <f t="shared" si="46"/>
        <v>6.6666666666666652E-2</v>
      </c>
      <c r="T227" s="35">
        <f t="shared" si="47"/>
        <v>0.25</v>
      </c>
      <c r="U227" s="35">
        <f t="shared" si="48"/>
        <v>0.21052631578947367</v>
      </c>
      <c r="V227" s="35">
        <f t="shared" si="49"/>
        <v>0.3</v>
      </c>
      <c r="W227" s="35"/>
      <c r="X227" s="128">
        <v>0.14000000000000001</v>
      </c>
      <c r="Y227" s="128">
        <v>0.03</v>
      </c>
      <c r="Z227" s="128">
        <v>0.01</v>
      </c>
      <c r="AA227" s="128">
        <v>0.01</v>
      </c>
      <c r="AB227" s="128">
        <v>0</v>
      </c>
      <c r="AC227" s="128">
        <v>0</v>
      </c>
      <c r="AD227" s="128">
        <v>7.0000000000000007E-2</v>
      </c>
      <c r="AE227" s="128">
        <v>0.03</v>
      </c>
      <c r="AF227" s="128">
        <v>0</v>
      </c>
      <c r="AG227" s="128">
        <v>0</v>
      </c>
      <c r="AH227" s="128">
        <v>0</v>
      </c>
      <c r="AI227" s="128">
        <v>0</v>
      </c>
    </row>
    <row r="228" spans="1:35" x14ac:dyDescent="0.2">
      <c r="A228" s="110" t="s">
        <v>891</v>
      </c>
      <c r="B228" t="s">
        <v>902</v>
      </c>
      <c r="C228" t="s">
        <v>904</v>
      </c>
      <c r="D228" s="35">
        <f t="shared" si="68"/>
        <v>0.11000000000000001</v>
      </c>
      <c r="E228" s="35">
        <f t="shared" si="69"/>
        <v>0</v>
      </c>
      <c r="F228" s="35">
        <f t="shared" si="70"/>
        <v>0</v>
      </c>
      <c r="G228" s="35">
        <f t="shared" si="71"/>
        <v>0.18</v>
      </c>
      <c r="H228" s="35">
        <f t="shared" si="72"/>
        <v>0</v>
      </c>
      <c r="I228" s="35">
        <f t="shared" si="73"/>
        <v>0</v>
      </c>
      <c r="J228" s="128">
        <v>0.71</v>
      </c>
      <c r="K228" s="128">
        <v>0</v>
      </c>
      <c r="L228" s="128">
        <v>0</v>
      </c>
      <c r="M228" s="114">
        <f t="shared" si="40"/>
        <v>1</v>
      </c>
      <c r="N228" s="35">
        <f t="shared" si="41"/>
        <v>71</v>
      </c>
      <c r="O228" s="35">
        <f t="shared" si="42"/>
        <v>18</v>
      </c>
      <c r="P228" s="35">
        <f t="shared" si="43"/>
        <v>11.000000000000002</v>
      </c>
      <c r="Q228" s="35">
        <f t="shared" si="44"/>
        <v>0</v>
      </c>
      <c r="R228" s="35">
        <f t="shared" si="45"/>
        <v>0</v>
      </c>
      <c r="S228" s="35">
        <f t="shared" si="46"/>
        <v>0</v>
      </c>
      <c r="T228" s="35">
        <f t="shared" si="47"/>
        <v>0</v>
      </c>
      <c r="U228" s="35">
        <f t="shared" si="48"/>
        <v>0.16666666666666666</v>
      </c>
      <c r="V228" s="35">
        <f t="shared" si="49"/>
        <v>0.36363636363636359</v>
      </c>
      <c r="W228" s="35"/>
      <c r="X228" s="128">
        <v>0.15</v>
      </c>
      <c r="Y228" s="128">
        <v>0.03</v>
      </c>
      <c r="Z228" s="128">
        <v>0</v>
      </c>
      <c r="AA228" s="128">
        <v>0</v>
      </c>
      <c r="AB228" s="128">
        <v>0</v>
      </c>
      <c r="AC228" s="128">
        <v>0</v>
      </c>
      <c r="AD228" s="128">
        <v>7.0000000000000007E-2</v>
      </c>
      <c r="AE228" s="128">
        <v>0.04</v>
      </c>
      <c r="AF228" s="128">
        <v>0</v>
      </c>
      <c r="AG228" s="128">
        <v>0</v>
      </c>
      <c r="AH228" s="128">
        <v>0</v>
      </c>
      <c r="AI228" s="128">
        <v>0</v>
      </c>
    </row>
    <row r="229" spans="1:35" x14ac:dyDescent="0.2">
      <c r="A229" s="110" t="s">
        <v>891</v>
      </c>
      <c r="B229" t="s">
        <v>902</v>
      </c>
      <c r="C229" t="s">
        <v>904</v>
      </c>
      <c r="D229" s="35">
        <f t="shared" si="68"/>
        <v>0.11</v>
      </c>
      <c r="E229" s="35">
        <f t="shared" si="69"/>
        <v>0</v>
      </c>
      <c r="F229" s="35">
        <f t="shared" si="70"/>
        <v>0</v>
      </c>
      <c r="G229" s="35">
        <f t="shared" si="71"/>
        <v>0.21000000000000002</v>
      </c>
      <c r="H229" s="35">
        <f t="shared" si="72"/>
        <v>0.03</v>
      </c>
      <c r="I229" s="35">
        <f t="shared" si="73"/>
        <v>0.01</v>
      </c>
      <c r="J229" s="128">
        <v>0.55000000000000004</v>
      </c>
      <c r="K229" s="128">
        <v>7.0000000000000007E-2</v>
      </c>
      <c r="L229" s="128">
        <v>0.03</v>
      </c>
      <c r="M229" s="114">
        <f t="shared" si="40"/>
        <v>1.01</v>
      </c>
      <c r="N229" s="35">
        <f t="shared" si="41"/>
        <v>64.356435643564367</v>
      </c>
      <c r="O229" s="35">
        <f t="shared" si="42"/>
        <v>24.752475247524753</v>
      </c>
      <c r="P229" s="35">
        <f t="shared" si="43"/>
        <v>10.891089108910892</v>
      </c>
      <c r="Q229" s="35">
        <f t="shared" si="44"/>
        <v>0.19999999999999996</v>
      </c>
      <c r="R229" s="35">
        <f t="shared" si="45"/>
        <v>0.2</v>
      </c>
      <c r="S229" s="35">
        <f t="shared" si="46"/>
        <v>0.19999999999999998</v>
      </c>
      <c r="T229" s="35">
        <f t="shared" si="47"/>
        <v>0.19999999999999998</v>
      </c>
      <c r="U229" s="35">
        <f t="shared" si="48"/>
        <v>0.2</v>
      </c>
      <c r="V229" s="35">
        <f t="shared" si="49"/>
        <v>0.27272727272727271</v>
      </c>
      <c r="W229" s="35"/>
      <c r="X229" s="128">
        <v>0.17</v>
      </c>
      <c r="Y229" s="128">
        <v>0.04</v>
      </c>
      <c r="Z229" s="128">
        <v>0.02</v>
      </c>
      <c r="AA229" s="128">
        <v>0.01</v>
      </c>
      <c r="AB229" s="128">
        <v>0.01</v>
      </c>
      <c r="AC229" s="128">
        <v>0</v>
      </c>
      <c r="AD229" s="128">
        <v>0.08</v>
      </c>
      <c r="AE229" s="128">
        <v>0.03</v>
      </c>
      <c r="AF229" s="128">
        <v>0</v>
      </c>
      <c r="AG229" s="128">
        <v>0</v>
      </c>
      <c r="AH229" s="128">
        <v>0</v>
      </c>
      <c r="AI229" s="128">
        <v>0</v>
      </c>
    </row>
    <row r="230" spans="1:35" x14ac:dyDescent="0.2">
      <c r="A230" s="110" t="s">
        <v>891</v>
      </c>
      <c r="B230" t="s">
        <v>902</v>
      </c>
      <c r="C230" t="s">
        <v>904</v>
      </c>
      <c r="D230" s="35">
        <f t="shared" si="68"/>
        <v>0.09</v>
      </c>
      <c r="E230" s="35">
        <f t="shared" si="69"/>
        <v>0</v>
      </c>
      <c r="F230" s="35">
        <f t="shared" si="70"/>
        <v>0</v>
      </c>
      <c r="G230" s="35">
        <f t="shared" si="71"/>
        <v>0.19</v>
      </c>
      <c r="H230" s="35">
        <f t="shared" si="72"/>
        <v>0.03</v>
      </c>
      <c r="I230" s="35">
        <f t="shared" si="73"/>
        <v>0</v>
      </c>
      <c r="J230" s="128">
        <v>0.61</v>
      </c>
      <c r="K230" s="128">
        <v>0.06</v>
      </c>
      <c r="L230" s="128">
        <v>0.03</v>
      </c>
      <c r="M230" s="114">
        <f t="shared" si="40"/>
        <v>1.01</v>
      </c>
      <c r="N230" s="35">
        <f t="shared" si="41"/>
        <v>69.306930693069305</v>
      </c>
      <c r="O230" s="35">
        <f t="shared" si="42"/>
        <v>21.782178217821784</v>
      </c>
      <c r="P230" s="35">
        <f t="shared" si="43"/>
        <v>8.9108910891089099</v>
      </c>
      <c r="Q230" s="35">
        <f t="shared" si="44"/>
        <v>0.17142857142857143</v>
      </c>
      <c r="R230" s="35">
        <f t="shared" si="45"/>
        <v>0.13636363636363635</v>
      </c>
      <c r="S230" s="35">
        <f t="shared" si="46"/>
        <v>0.11764705882352942</v>
      </c>
      <c r="T230" s="35">
        <f t="shared" si="47"/>
        <v>0.19999999999999998</v>
      </c>
      <c r="U230" s="35">
        <f t="shared" si="48"/>
        <v>0.22727272727272729</v>
      </c>
      <c r="V230" s="35">
        <f t="shared" si="49"/>
        <v>0.33333333333333331</v>
      </c>
      <c r="W230" s="35"/>
      <c r="X230" s="128">
        <v>0.15</v>
      </c>
      <c r="Y230" s="128">
        <v>0.04</v>
      </c>
      <c r="Z230" s="128">
        <v>0.02</v>
      </c>
      <c r="AA230" s="128">
        <v>0.01</v>
      </c>
      <c r="AB230" s="128">
        <v>0</v>
      </c>
      <c r="AC230" s="128">
        <v>0</v>
      </c>
      <c r="AD230" s="128">
        <v>0.06</v>
      </c>
      <c r="AE230" s="128">
        <v>0.03</v>
      </c>
      <c r="AF230" s="128">
        <v>0</v>
      </c>
      <c r="AG230" s="128">
        <v>0</v>
      </c>
      <c r="AH230" s="128">
        <v>0</v>
      </c>
      <c r="AI230" s="128">
        <v>0</v>
      </c>
    </row>
    <row r="231" spans="1:35" x14ac:dyDescent="0.2">
      <c r="A231" s="110" t="s">
        <v>891</v>
      </c>
      <c r="B231" t="s">
        <v>902</v>
      </c>
      <c r="C231" t="s">
        <v>904</v>
      </c>
      <c r="D231" s="35">
        <f t="shared" si="68"/>
        <v>0.09</v>
      </c>
      <c r="E231" s="35">
        <f t="shared" si="69"/>
        <v>0</v>
      </c>
      <c r="F231" s="35">
        <f t="shared" si="70"/>
        <v>0</v>
      </c>
      <c r="G231" s="35">
        <f t="shared" si="71"/>
        <v>0.17</v>
      </c>
      <c r="H231" s="35">
        <f t="shared" si="72"/>
        <v>0.02</v>
      </c>
      <c r="I231" s="35">
        <f t="shared" si="73"/>
        <v>0</v>
      </c>
      <c r="J231" s="128">
        <v>0.65</v>
      </c>
      <c r="K231" s="128">
        <v>0.06</v>
      </c>
      <c r="L231" s="128">
        <v>0.02</v>
      </c>
      <c r="M231" s="114">
        <f t="shared" si="40"/>
        <v>1.01</v>
      </c>
      <c r="N231" s="35">
        <f t="shared" si="41"/>
        <v>72.277227722772281</v>
      </c>
      <c r="O231" s="35">
        <f t="shared" si="42"/>
        <v>18.811881188118811</v>
      </c>
      <c r="P231" s="35">
        <f t="shared" si="43"/>
        <v>8.9108910891089099</v>
      </c>
      <c r="Q231" s="35">
        <f t="shared" si="44"/>
        <v>0.13698630136986303</v>
      </c>
      <c r="R231" s="35">
        <f t="shared" si="45"/>
        <v>0.10526315789473684</v>
      </c>
      <c r="S231" s="35">
        <f t="shared" si="46"/>
        <v>6.6666666666666652E-2</v>
      </c>
      <c r="T231" s="35">
        <f t="shared" si="47"/>
        <v>0.25</v>
      </c>
      <c r="U231" s="35">
        <f t="shared" si="48"/>
        <v>0.21052631578947367</v>
      </c>
      <c r="V231" s="35">
        <f t="shared" si="49"/>
        <v>0.33333333333333331</v>
      </c>
      <c r="W231" s="35"/>
      <c r="X231" s="128">
        <v>0.14000000000000001</v>
      </c>
      <c r="Y231" s="128">
        <v>0.03</v>
      </c>
      <c r="Z231" s="128">
        <v>0.01</v>
      </c>
      <c r="AA231" s="128">
        <v>0.01</v>
      </c>
      <c r="AB231" s="128">
        <v>0</v>
      </c>
      <c r="AC231" s="128">
        <v>0</v>
      </c>
      <c r="AD231" s="128">
        <v>0.06</v>
      </c>
      <c r="AE231" s="128">
        <v>0.03</v>
      </c>
      <c r="AF231" s="128">
        <v>0</v>
      </c>
      <c r="AG231" s="128">
        <v>0</v>
      </c>
      <c r="AH231" s="128">
        <v>0</v>
      </c>
      <c r="AI231" s="128">
        <v>0</v>
      </c>
    </row>
    <row r="232" spans="1:35" x14ac:dyDescent="0.2">
      <c r="A232" s="110" t="s">
        <v>891</v>
      </c>
      <c r="B232" t="s">
        <v>902</v>
      </c>
      <c r="C232" t="s">
        <v>904</v>
      </c>
      <c r="D232" s="35">
        <f t="shared" si="68"/>
        <v>0.09</v>
      </c>
      <c r="E232" s="35">
        <f t="shared" si="69"/>
        <v>0</v>
      </c>
      <c r="F232" s="35">
        <f t="shared" si="70"/>
        <v>0</v>
      </c>
      <c r="G232" s="35">
        <f t="shared" si="71"/>
        <v>0.15</v>
      </c>
      <c r="H232" s="35">
        <f t="shared" si="72"/>
        <v>0</v>
      </c>
      <c r="I232" s="35">
        <f t="shared" si="73"/>
        <v>0</v>
      </c>
      <c r="J232" s="128">
        <v>0.68</v>
      </c>
      <c r="K232" s="128">
        <v>0.05</v>
      </c>
      <c r="L232" s="128">
        <v>0.02</v>
      </c>
      <c r="M232" s="114">
        <f t="shared" si="40"/>
        <v>0.9900000000000001</v>
      </c>
      <c r="N232" s="35">
        <f t="shared" si="41"/>
        <v>75.757575757575751</v>
      </c>
      <c r="O232" s="35">
        <f t="shared" si="42"/>
        <v>15.151515151515149</v>
      </c>
      <c r="P232" s="35">
        <f t="shared" si="43"/>
        <v>9.0909090909090899</v>
      </c>
      <c r="Q232" s="35">
        <f t="shared" si="44"/>
        <v>0.11999999999999998</v>
      </c>
      <c r="R232" s="35">
        <f t="shared" si="45"/>
        <v>0</v>
      </c>
      <c r="S232" s="35">
        <f t="shared" si="46"/>
        <v>0</v>
      </c>
      <c r="T232" s="35">
        <f t="shared" si="47"/>
        <v>0</v>
      </c>
      <c r="U232" s="35">
        <f t="shared" si="48"/>
        <v>0.2</v>
      </c>
      <c r="V232" s="35">
        <f t="shared" si="49"/>
        <v>0.33333333333333331</v>
      </c>
      <c r="W232" s="35"/>
      <c r="X232" s="128">
        <v>0.12</v>
      </c>
      <c r="Y232" s="128">
        <v>0.03</v>
      </c>
      <c r="Z232" s="128">
        <v>0</v>
      </c>
      <c r="AA232" s="128">
        <v>0</v>
      </c>
      <c r="AB232" s="128">
        <v>0</v>
      </c>
      <c r="AC232" s="128">
        <v>0</v>
      </c>
      <c r="AD232" s="128">
        <v>0.06</v>
      </c>
      <c r="AE232" s="128">
        <v>0.03</v>
      </c>
      <c r="AF232" s="128">
        <v>0</v>
      </c>
      <c r="AG232" s="128">
        <v>0</v>
      </c>
      <c r="AH232" s="128">
        <v>0</v>
      </c>
      <c r="AI232" s="128">
        <v>0</v>
      </c>
    </row>
    <row r="233" spans="1:35" x14ac:dyDescent="0.2">
      <c r="A233" s="110" t="s">
        <v>891</v>
      </c>
      <c r="B233" t="s">
        <v>902</v>
      </c>
      <c r="C233" t="s">
        <v>904</v>
      </c>
      <c r="D233" s="35">
        <f t="shared" si="68"/>
        <v>0.13</v>
      </c>
      <c r="E233" s="35">
        <f t="shared" si="69"/>
        <v>0</v>
      </c>
      <c r="F233" s="35">
        <f t="shared" si="70"/>
        <v>0</v>
      </c>
      <c r="G233" s="35">
        <f t="shared" si="71"/>
        <v>0.14000000000000001</v>
      </c>
      <c r="H233" s="35">
        <f t="shared" si="72"/>
        <v>0.02</v>
      </c>
      <c r="I233" s="35">
        <f t="shared" si="73"/>
        <v>0</v>
      </c>
      <c r="J233" s="128">
        <v>0.65</v>
      </c>
      <c r="K233" s="128">
        <v>0.04</v>
      </c>
      <c r="L233" s="128">
        <v>0.01</v>
      </c>
      <c r="M233" s="114">
        <f t="shared" si="40"/>
        <v>0.9900000000000001</v>
      </c>
      <c r="N233" s="35">
        <f t="shared" si="41"/>
        <v>70.707070707070713</v>
      </c>
      <c r="O233" s="35">
        <f t="shared" si="42"/>
        <v>16.161616161616159</v>
      </c>
      <c r="P233" s="35">
        <f t="shared" si="43"/>
        <v>13.13131313131313</v>
      </c>
      <c r="Q233" s="35">
        <f t="shared" si="44"/>
        <v>8.5714285714285701E-2</v>
      </c>
      <c r="R233" s="35">
        <f t="shared" si="45"/>
        <v>0.125</v>
      </c>
      <c r="S233" s="35">
        <f t="shared" si="46"/>
        <v>9.0909090909090912E-2</v>
      </c>
      <c r="T233" s="35">
        <f t="shared" si="47"/>
        <v>0.19999999999999998</v>
      </c>
      <c r="U233" s="35">
        <f t="shared" si="48"/>
        <v>0.3125</v>
      </c>
      <c r="V233" s="35">
        <f t="shared" si="49"/>
        <v>0.30769230769230771</v>
      </c>
      <c r="W233" s="35"/>
      <c r="X233" s="128">
        <v>0.1</v>
      </c>
      <c r="Y233" s="128">
        <v>0.04</v>
      </c>
      <c r="Z233" s="128">
        <v>0.01</v>
      </c>
      <c r="AA233" s="128">
        <v>0.01</v>
      </c>
      <c r="AB233" s="128">
        <v>0</v>
      </c>
      <c r="AC233" s="128">
        <v>0</v>
      </c>
      <c r="AD233" s="128">
        <v>0.09</v>
      </c>
      <c r="AE233" s="128">
        <v>0.04</v>
      </c>
      <c r="AF233" s="128">
        <v>0</v>
      </c>
      <c r="AG233" s="128">
        <v>0</v>
      </c>
      <c r="AH233" s="128">
        <v>0</v>
      </c>
      <c r="AI233" s="128">
        <v>0</v>
      </c>
    </row>
    <row r="234" spans="1:35" x14ac:dyDescent="0.2">
      <c r="A234" s="110" t="s">
        <v>891</v>
      </c>
      <c r="B234" t="s">
        <v>902</v>
      </c>
      <c r="C234" t="s">
        <v>904</v>
      </c>
      <c r="D234" s="35">
        <f t="shared" si="68"/>
        <v>7.0000000000000007E-2</v>
      </c>
      <c r="E234" s="35">
        <f t="shared" si="69"/>
        <v>0</v>
      </c>
      <c r="F234" s="35">
        <f t="shared" si="70"/>
        <v>0</v>
      </c>
      <c r="G234" s="35">
        <f t="shared" si="71"/>
        <v>0.15</v>
      </c>
      <c r="H234" s="35">
        <f t="shared" si="72"/>
        <v>0.01</v>
      </c>
      <c r="I234" s="35">
        <f t="shared" si="73"/>
        <v>0</v>
      </c>
      <c r="J234" s="128">
        <v>0.68</v>
      </c>
      <c r="K234" s="128">
        <v>0.06</v>
      </c>
      <c r="L234" s="128">
        <v>0.03</v>
      </c>
      <c r="M234" s="114">
        <f t="shared" si="40"/>
        <v>1</v>
      </c>
      <c r="N234" s="35">
        <f t="shared" si="41"/>
        <v>77</v>
      </c>
      <c r="O234" s="35">
        <f t="shared" si="42"/>
        <v>16</v>
      </c>
      <c r="P234" s="35">
        <f t="shared" si="43"/>
        <v>7.0000000000000009</v>
      </c>
      <c r="Q234" s="35">
        <f t="shared" si="44"/>
        <v>0.15584415584415584</v>
      </c>
      <c r="R234" s="35">
        <f t="shared" si="45"/>
        <v>6.25E-2</v>
      </c>
      <c r="S234" s="35">
        <f t="shared" si="46"/>
        <v>7.6923076923076927E-2</v>
      </c>
      <c r="T234" s="35">
        <f t="shared" si="47"/>
        <v>0</v>
      </c>
      <c r="U234" s="35">
        <f t="shared" si="48"/>
        <v>0.1875</v>
      </c>
      <c r="V234" s="35">
        <f t="shared" si="49"/>
        <v>0.42857142857142849</v>
      </c>
      <c r="W234" s="35"/>
      <c r="X234" s="128">
        <v>0.12</v>
      </c>
      <c r="Y234" s="128">
        <v>0.03</v>
      </c>
      <c r="Z234" s="128">
        <v>0.01</v>
      </c>
      <c r="AA234" s="128">
        <v>0</v>
      </c>
      <c r="AB234" s="128">
        <v>0</v>
      </c>
      <c r="AC234" s="128">
        <v>0</v>
      </c>
      <c r="AD234" s="128">
        <v>0.04</v>
      </c>
      <c r="AE234" s="128">
        <v>0.03</v>
      </c>
      <c r="AF234" s="128">
        <v>0</v>
      </c>
      <c r="AG234" s="128">
        <v>0</v>
      </c>
      <c r="AH234" s="128">
        <v>0</v>
      </c>
      <c r="AI234" s="128">
        <v>0</v>
      </c>
    </row>
    <row r="235" spans="1:35" x14ac:dyDescent="0.2">
      <c r="A235" s="110" t="s">
        <v>891</v>
      </c>
      <c r="B235" t="s">
        <v>902</v>
      </c>
      <c r="C235" t="s">
        <v>904</v>
      </c>
      <c r="D235" s="35">
        <f t="shared" si="68"/>
        <v>0.08</v>
      </c>
      <c r="E235" s="35">
        <f t="shared" si="69"/>
        <v>0</v>
      </c>
      <c r="F235" s="35">
        <f t="shared" si="70"/>
        <v>0</v>
      </c>
      <c r="G235" s="35">
        <f t="shared" si="71"/>
        <v>0.16</v>
      </c>
      <c r="H235" s="35">
        <f t="shared" si="72"/>
        <v>0.02</v>
      </c>
      <c r="I235" s="35">
        <f t="shared" si="73"/>
        <v>0</v>
      </c>
      <c r="J235" s="128">
        <v>0.68</v>
      </c>
      <c r="K235" s="128">
        <v>0.05</v>
      </c>
      <c r="L235" s="128">
        <v>0.02</v>
      </c>
      <c r="M235" s="114">
        <f t="shared" si="40"/>
        <v>1.01</v>
      </c>
      <c r="N235" s="35">
        <f t="shared" si="41"/>
        <v>74.25742574257427</v>
      </c>
      <c r="O235" s="35">
        <f t="shared" si="42"/>
        <v>17.82178217821782</v>
      </c>
      <c r="P235" s="35">
        <f t="shared" si="43"/>
        <v>7.9207920792079207</v>
      </c>
      <c r="Q235" s="35">
        <f t="shared" si="44"/>
        <v>0.11999999999999998</v>
      </c>
      <c r="R235" s="35">
        <f t="shared" si="45"/>
        <v>0.11111111111111112</v>
      </c>
      <c r="S235" s="35">
        <f t="shared" si="46"/>
        <v>7.1428571428571425E-2</v>
      </c>
      <c r="T235" s="35">
        <f t="shared" si="47"/>
        <v>0.25</v>
      </c>
      <c r="U235" s="35">
        <f t="shared" si="48"/>
        <v>0.22222222222222224</v>
      </c>
      <c r="V235" s="35">
        <f t="shared" si="49"/>
        <v>0.5</v>
      </c>
      <c r="W235" s="35"/>
      <c r="X235" s="128">
        <v>0.13</v>
      </c>
      <c r="Y235" s="128">
        <v>0.03</v>
      </c>
      <c r="Z235" s="128">
        <v>0.01</v>
      </c>
      <c r="AA235" s="128">
        <v>0.01</v>
      </c>
      <c r="AB235" s="128">
        <v>0</v>
      </c>
      <c r="AC235" s="128">
        <v>0</v>
      </c>
      <c r="AD235" s="128">
        <v>0.04</v>
      </c>
      <c r="AE235" s="128">
        <v>0.04</v>
      </c>
      <c r="AF235" s="128">
        <v>0</v>
      </c>
      <c r="AG235" s="128">
        <v>0</v>
      </c>
      <c r="AH235" s="128">
        <v>0</v>
      </c>
      <c r="AI235" s="128">
        <v>0</v>
      </c>
    </row>
    <row r="236" spans="1:35" x14ac:dyDescent="0.2">
      <c r="A236" s="110" t="s">
        <v>891</v>
      </c>
      <c r="B236" t="s">
        <v>902</v>
      </c>
      <c r="C236" t="s">
        <v>904</v>
      </c>
      <c r="D236" s="35">
        <f t="shared" si="68"/>
        <v>7.0000000000000007E-2</v>
      </c>
      <c r="E236" s="35">
        <f t="shared" si="69"/>
        <v>0</v>
      </c>
      <c r="F236" s="35">
        <f t="shared" si="70"/>
        <v>0</v>
      </c>
      <c r="G236" s="35">
        <f t="shared" si="71"/>
        <v>0.16</v>
      </c>
      <c r="H236" s="35">
        <f t="shared" si="72"/>
        <v>0.02</v>
      </c>
      <c r="I236" s="35">
        <f t="shared" si="73"/>
        <v>0</v>
      </c>
      <c r="J236" s="128">
        <v>0.67</v>
      </c>
      <c r="K236" s="128">
        <v>0.06</v>
      </c>
      <c r="L236" s="128">
        <v>0.03</v>
      </c>
      <c r="M236" s="114">
        <f t="shared" si="40"/>
        <v>1.01</v>
      </c>
      <c r="N236" s="35">
        <f t="shared" si="41"/>
        <v>75.247524752475243</v>
      </c>
      <c r="O236" s="35">
        <f t="shared" si="42"/>
        <v>17.82178217821782</v>
      </c>
      <c r="P236" s="35">
        <f t="shared" si="43"/>
        <v>6.9306930693069315</v>
      </c>
      <c r="Q236" s="35">
        <f t="shared" si="44"/>
        <v>0.15789473684210525</v>
      </c>
      <c r="R236" s="35">
        <f t="shared" si="45"/>
        <v>0.11111111111111112</v>
      </c>
      <c r="S236" s="35">
        <f t="shared" si="46"/>
        <v>0.13333333333333333</v>
      </c>
      <c r="T236" s="35">
        <f t="shared" si="47"/>
        <v>0</v>
      </c>
      <c r="U236" s="35">
        <f t="shared" si="48"/>
        <v>0.16666666666666666</v>
      </c>
      <c r="V236" s="35">
        <f t="shared" si="49"/>
        <v>0.42857142857142849</v>
      </c>
      <c r="W236" s="35"/>
      <c r="X236" s="128">
        <v>0.13</v>
      </c>
      <c r="Y236" s="128">
        <v>0.03</v>
      </c>
      <c r="Z236" s="128">
        <v>0.02</v>
      </c>
      <c r="AA236" s="128">
        <v>0</v>
      </c>
      <c r="AB236" s="128">
        <v>0</v>
      </c>
      <c r="AC236" s="128">
        <v>0</v>
      </c>
      <c r="AD236" s="128">
        <v>0.04</v>
      </c>
      <c r="AE236" s="128">
        <v>0.03</v>
      </c>
      <c r="AF236" s="128">
        <v>0</v>
      </c>
      <c r="AG236" s="128">
        <v>0</v>
      </c>
      <c r="AH236" s="128">
        <v>0</v>
      </c>
      <c r="AI236" s="128">
        <v>0</v>
      </c>
    </row>
    <row r="237" spans="1:35" x14ac:dyDescent="0.2">
      <c r="A237" s="110" t="s">
        <v>891</v>
      </c>
      <c r="B237" t="s">
        <v>902</v>
      </c>
      <c r="C237" t="s">
        <v>904</v>
      </c>
      <c r="D237" s="35">
        <f t="shared" si="68"/>
        <v>7.0000000000000007E-2</v>
      </c>
      <c r="E237" s="35">
        <f t="shared" si="69"/>
        <v>0</v>
      </c>
      <c r="F237" s="35">
        <f t="shared" si="70"/>
        <v>0</v>
      </c>
      <c r="G237" s="35">
        <f t="shared" si="71"/>
        <v>0.15</v>
      </c>
      <c r="H237" s="35">
        <f t="shared" si="72"/>
        <v>0.02</v>
      </c>
      <c r="I237" s="35">
        <f t="shared" si="73"/>
        <v>0</v>
      </c>
      <c r="J237" s="128">
        <v>0.68</v>
      </c>
      <c r="K237" s="128">
        <v>0.06</v>
      </c>
      <c r="L237" s="128">
        <v>0.03</v>
      </c>
      <c r="M237" s="114">
        <f t="shared" si="40"/>
        <v>1.01</v>
      </c>
      <c r="N237" s="35">
        <f t="shared" si="41"/>
        <v>76.237623762376245</v>
      </c>
      <c r="O237" s="35">
        <f t="shared" si="42"/>
        <v>16.831683168316829</v>
      </c>
      <c r="P237" s="35">
        <f t="shared" si="43"/>
        <v>6.9306930693069315</v>
      </c>
      <c r="Q237" s="35">
        <f t="shared" si="44"/>
        <v>0.15584415584415584</v>
      </c>
      <c r="R237" s="35">
        <f t="shared" si="45"/>
        <v>0.11764705882352942</v>
      </c>
      <c r="S237" s="35">
        <f t="shared" si="46"/>
        <v>7.6923076923076927E-2</v>
      </c>
      <c r="T237" s="35">
        <f t="shared" si="47"/>
        <v>0.25</v>
      </c>
      <c r="U237" s="35">
        <f t="shared" si="48"/>
        <v>0.23529411764705885</v>
      </c>
      <c r="V237" s="35">
        <f t="shared" si="49"/>
        <v>0.42857142857142849</v>
      </c>
      <c r="W237" s="35"/>
      <c r="X237" s="128">
        <v>0.12</v>
      </c>
      <c r="Y237" s="128">
        <v>0.03</v>
      </c>
      <c r="Z237" s="128">
        <v>0.01</v>
      </c>
      <c r="AA237" s="128">
        <v>0.01</v>
      </c>
      <c r="AB237" s="128">
        <v>0</v>
      </c>
      <c r="AC237" s="128">
        <v>0</v>
      </c>
      <c r="AD237" s="128">
        <v>0.04</v>
      </c>
      <c r="AE237" s="128">
        <v>0.03</v>
      </c>
      <c r="AF237" s="128">
        <v>0</v>
      </c>
      <c r="AG237" s="128">
        <v>0</v>
      </c>
      <c r="AH237" s="128">
        <v>0</v>
      </c>
      <c r="AI237" s="128">
        <v>0</v>
      </c>
    </row>
    <row r="238" spans="1:35" x14ac:dyDescent="0.2">
      <c r="A238" s="110" t="s">
        <v>891</v>
      </c>
      <c r="B238" t="s">
        <v>902</v>
      </c>
      <c r="C238" t="s">
        <v>904</v>
      </c>
      <c r="D238" s="35">
        <f t="shared" si="68"/>
        <v>7.0000000000000007E-2</v>
      </c>
      <c r="E238" s="35">
        <f t="shared" si="69"/>
        <v>0</v>
      </c>
      <c r="F238" s="35">
        <f t="shared" si="70"/>
        <v>0</v>
      </c>
      <c r="G238" s="35">
        <f t="shared" si="71"/>
        <v>0.15</v>
      </c>
      <c r="H238" s="35">
        <f t="shared" si="72"/>
        <v>0.03</v>
      </c>
      <c r="I238" s="35">
        <f t="shared" si="73"/>
        <v>0</v>
      </c>
      <c r="J238" s="128">
        <v>0.66</v>
      </c>
      <c r="K238" s="128">
        <v>0.06</v>
      </c>
      <c r="L238" s="128">
        <v>0.03</v>
      </c>
      <c r="M238" s="114">
        <f t="shared" si="40"/>
        <v>1</v>
      </c>
      <c r="N238" s="35">
        <f t="shared" si="41"/>
        <v>75</v>
      </c>
      <c r="O238" s="35">
        <f t="shared" si="42"/>
        <v>18</v>
      </c>
      <c r="P238" s="35">
        <f t="shared" si="43"/>
        <v>7.0000000000000009</v>
      </c>
      <c r="Q238" s="35">
        <f t="shared" si="44"/>
        <v>0.16</v>
      </c>
      <c r="R238" s="35">
        <f t="shared" si="45"/>
        <v>0.16666666666666666</v>
      </c>
      <c r="S238" s="35">
        <f t="shared" si="46"/>
        <v>0.14285714285714288</v>
      </c>
      <c r="T238" s="35">
        <f t="shared" si="47"/>
        <v>0.25</v>
      </c>
      <c r="U238" s="35">
        <f t="shared" si="48"/>
        <v>0.22222222222222224</v>
      </c>
      <c r="V238" s="35">
        <f t="shared" si="49"/>
        <v>0.42857142857142849</v>
      </c>
      <c r="W238" s="35"/>
      <c r="X238" s="128">
        <v>0.12</v>
      </c>
      <c r="Y238" s="128">
        <v>0.03</v>
      </c>
      <c r="Z238" s="128">
        <v>0.02</v>
      </c>
      <c r="AA238" s="128">
        <v>0.01</v>
      </c>
      <c r="AB238" s="128">
        <v>0</v>
      </c>
      <c r="AC238" s="128">
        <v>0</v>
      </c>
      <c r="AD238" s="128">
        <v>0.04</v>
      </c>
      <c r="AE238" s="128">
        <v>0.03</v>
      </c>
      <c r="AF238" s="128">
        <v>0</v>
      </c>
      <c r="AG238" s="128">
        <v>0</v>
      </c>
      <c r="AH238" s="128">
        <v>0</v>
      </c>
      <c r="AI238" s="128">
        <v>0</v>
      </c>
    </row>
    <row r="239" spans="1:35" x14ac:dyDescent="0.2">
      <c r="A239" s="110" t="s">
        <v>891</v>
      </c>
      <c r="B239" t="s">
        <v>902</v>
      </c>
      <c r="C239" t="s">
        <v>904</v>
      </c>
      <c r="D239" s="35">
        <f t="shared" si="68"/>
        <v>0.09</v>
      </c>
      <c r="E239" s="35">
        <f t="shared" si="69"/>
        <v>0</v>
      </c>
      <c r="F239" s="35">
        <f t="shared" si="70"/>
        <v>0</v>
      </c>
      <c r="G239" s="35">
        <f t="shared" si="71"/>
        <v>0.19</v>
      </c>
      <c r="H239" s="35">
        <f t="shared" si="72"/>
        <v>0.02</v>
      </c>
      <c r="I239" s="35">
        <f t="shared" si="73"/>
        <v>0</v>
      </c>
      <c r="J239" s="128">
        <v>0.62</v>
      </c>
      <c r="K239" s="128">
        <v>0.06</v>
      </c>
      <c r="L239" s="128">
        <v>0.03</v>
      </c>
      <c r="M239" s="114">
        <f t="shared" si="40"/>
        <v>1.01</v>
      </c>
      <c r="N239" s="35">
        <f t="shared" si="41"/>
        <v>70.297029702970292</v>
      </c>
      <c r="O239" s="35">
        <f t="shared" si="42"/>
        <v>20.792079207920793</v>
      </c>
      <c r="P239" s="35">
        <f t="shared" si="43"/>
        <v>8.9108910891089099</v>
      </c>
      <c r="Q239" s="35">
        <f t="shared" si="44"/>
        <v>0.16901408450704225</v>
      </c>
      <c r="R239" s="35">
        <f t="shared" si="45"/>
        <v>9.5238095238095247E-2</v>
      </c>
      <c r="S239" s="35">
        <f t="shared" si="46"/>
        <v>5.8823529411764705E-2</v>
      </c>
      <c r="T239" s="35">
        <f t="shared" si="47"/>
        <v>0.25</v>
      </c>
      <c r="U239" s="35">
        <f t="shared" si="48"/>
        <v>0.19047619047619049</v>
      </c>
      <c r="V239" s="35">
        <f t="shared" si="49"/>
        <v>0.33333333333333331</v>
      </c>
      <c r="W239" s="35"/>
      <c r="X239" s="128">
        <v>0.16</v>
      </c>
      <c r="Y239" s="128">
        <v>0.03</v>
      </c>
      <c r="Z239" s="128">
        <v>0.01</v>
      </c>
      <c r="AA239" s="128">
        <v>0.01</v>
      </c>
      <c r="AB239" s="128">
        <v>0</v>
      </c>
      <c r="AC239" s="128">
        <v>0</v>
      </c>
      <c r="AD239" s="128">
        <v>0.06</v>
      </c>
      <c r="AE239" s="128">
        <v>0.03</v>
      </c>
      <c r="AF239" s="128">
        <v>0</v>
      </c>
      <c r="AG239" s="128">
        <v>0</v>
      </c>
      <c r="AH239" s="128">
        <v>0</v>
      </c>
      <c r="AI239" s="128">
        <v>0</v>
      </c>
    </row>
    <row r="240" spans="1:35" x14ac:dyDescent="0.2">
      <c r="A240" s="110" t="s">
        <v>891</v>
      </c>
      <c r="B240" t="s">
        <v>902</v>
      </c>
      <c r="C240" t="s">
        <v>904</v>
      </c>
      <c r="D240" s="35">
        <f t="shared" si="68"/>
        <v>9.0000000000000011E-2</v>
      </c>
      <c r="E240" s="35">
        <f t="shared" si="69"/>
        <v>0</v>
      </c>
      <c r="F240" s="35">
        <f t="shared" si="70"/>
        <v>0</v>
      </c>
      <c r="G240" s="35">
        <f t="shared" si="71"/>
        <v>0.16999999999999998</v>
      </c>
      <c r="H240" s="35">
        <f t="shared" si="72"/>
        <v>0.02</v>
      </c>
      <c r="I240" s="35">
        <f t="shared" si="73"/>
        <v>0</v>
      </c>
      <c r="J240" s="128">
        <v>0.63</v>
      </c>
      <c r="K240" s="128">
        <v>0.06</v>
      </c>
      <c r="L240" s="128">
        <v>0.03</v>
      </c>
      <c r="M240" s="114">
        <f t="shared" si="40"/>
        <v>1</v>
      </c>
      <c r="N240" s="35">
        <f t="shared" si="41"/>
        <v>72</v>
      </c>
      <c r="O240" s="35">
        <f t="shared" si="42"/>
        <v>18.999999999999996</v>
      </c>
      <c r="P240" s="35">
        <f t="shared" si="43"/>
        <v>9.0000000000000018</v>
      </c>
      <c r="Q240" s="35">
        <f t="shared" si="44"/>
        <v>0.16666666666666666</v>
      </c>
      <c r="R240" s="35">
        <f t="shared" si="45"/>
        <v>0.10526315789473686</v>
      </c>
      <c r="S240" s="35">
        <f t="shared" si="46"/>
        <v>6.25E-2</v>
      </c>
      <c r="T240" s="35">
        <f t="shared" si="47"/>
        <v>0.33333333333333337</v>
      </c>
      <c r="U240" s="35">
        <f t="shared" si="48"/>
        <v>0.15789473684210528</v>
      </c>
      <c r="V240" s="35">
        <f t="shared" si="49"/>
        <v>0.22222222222222221</v>
      </c>
      <c r="W240" s="35"/>
      <c r="X240" s="128">
        <v>0.15</v>
      </c>
      <c r="Y240" s="128">
        <v>0.02</v>
      </c>
      <c r="Z240" s="128">
        <v>0.01</v>
      </c>
      <c r="AA240" s="128">
        <v>0.01</v>
      </c>
      <c r="AB240" s="128">
        <v>0</v>
      </c>
      <c r="AC240" s="128">
        <v>0</v>
      </c>
      <c r="AD240" s="128">
        <v>7.0000000000000007E-2</v>
      </c>
      <c r="AE240" s="128">
        <v>0.02</v>
      </c>
      <c r="AF240" s="128">
        <v>0</v>
      </c>
      <c r="AG240" s="128">
        <v>0</v>
      </c>
      <c r="AH240" s="128">
        <v>0</v>
      </c>
      <c r="AI240" s="128">
        <v>0</v>
      </c>
    </row>
    <row r="241" spans="1:35" x14ac:dyDescent="0.2">
      <c r="A241" s="110" t="s">
        <v>891</v>
      </c>
      <c r="B241" t="s">
        <v>902</v>
      </c>
      <c r="C241" t="s">
        <v>904</v>
      </c>
      <c r="D241" s="35">
        <f t="shared" si="68"/>
        <v>0.08</v>
      </c>
      <c r="E241" s="35">
        <f t="shared" si="69"/>
        <v>0</v>
      </c>
      <c r="F241" s="35">
        <f t="shared" si="70"/>
        <v>0</v>
      </c>
      <c r="G241" s="35">
        <f t="shared" si="71"/>
        <v>0.13</v>
      </c>
      <c r="H241" s="35">
        <f t="shared" si="72"/>
        <v>0.03</v>
      </c>
      <c r="I241" s="35">
        <f t="shared" si="73"/>
        <v>0</v>
      </c>
      <c r="J241" s="128">
        <v>0.67</v>
      </c>
      <c r="K241" s="128">
        <v>0.06</v>
      </c>
      <c r="L241" s="128">
        <v>0.02</v>
      </c>
      <c r="M241" s="114">
        <f t="shared" si="40"/>
        <v>0.99</v>
      </c>
      <c r="N241" s="35">
        <f t="shared" si="41"/>
        <v>75.757575757575751</v>
      </c>
      <c r="O241" s="35">
        <f t="shared" si="42"/>
        <v>16.161616161616163</v>
      </c>
      <c r="P241" s="35">
        <f t="shared" si="43"/>
        <v>8.0808080808080813</v>
      </c>
      <c r="Q241" s="35">
        <f t="shared" si="44"/>
        <v>0.13333333333333333</v>
      </c>
      <c r="R241" s="35">
        <f t="shared" si="45"/>
        <v>0.1875</v>
      </c>
      <c r="S241" s="35">
        <f t="shared" si="46"/>
        <v>0.16666666666666666</v>
      </c>
      <c r="T241" s="35">
        <f t="shared" si="47"/>
        <v>0.25</v>
      </c>
      <c r="U241" s="35">
        <f t="shared" si="48"/>
        <v>0.25</v>
      </c>
      <c r="V241" s="35">
        <f t="shared" si="49"/>
        <v>0.375</v>
      </c>
      <c r="W241" s="35"/>
      <c r="X241" s="128">
        <v>0.1</v>
      </c>
      <c r="Y241" s="128">
        <v>0.03</v>
      </c>
      <c r="Z241" s="128">
        <v>0.02</v>
      </c>
      <c r="AA241" s="128">
        <v>0.01</v>
      </c>
      <c r="AB241" s="128">
        <v>0</v>
      </c>
      <c r="AC241" s="128">
        <v>0</v>
      </c>
      <c r="AD241" s="128">
        <v>0.05</v>
      </c>
      <c r="AE241" s="128">
        <v>0.03</v>
      </c>
      <c r="AF241" s="128">
        <v>0</v>
      </c>
      <c r="AG241" s="128">
        <v>0</v>
      </c>
      <c r="AH241" s="128">
        <v>0</v>
      </c>
      <c r="AI241" s="128">
        <v>0</v>
      </c>
    </row>
    <row r="242" spans="1:35" x14ac:dyDescent="0.2">
      <c r="A242" s="110" t="s">
        <v>891</v>
      </c>
      <c r="B242" t="s">
        <v>902</v>
      </c>
      <c r="C242" t="s">
        <v>904</v>
      </c>
      <c r="D242" s="35">
        <f t="shared" si="68"/>
        <v>0.11</v>
      </c>
      <c r="E242" s="35">
        <f t="shared" si="69"/>
        <v>0</v>
      </c>
      <c r="F242" s="35">
        <f t="shared" si="70"/>
        <v>0</v>
      </c>
      <c r="G242" s="35">
        <f t="shared" si="71"/>
        <v>0.15</v>
      </c>
      <c r="H242" s="35">
        <f t="shared" si="72"/>
        <v>0.03</v>
      </c>
      <c r="I242" s="35">
        <f t="shared" si="73"/>
        <v>0</v>
      </c>
      <c r="J242" s="128">
        <v>0.62</v>
      </c>
      <c r="K242" s="128">
        <v>0.06</v>
      </c>
      <c r="L242" s="128">
        <v>0.02</v>
      </c>
      <c r="M242" s="114">
        <f t="shared" si="40"/>
        <v>0.99</v>
      </c>
      <c r="N242" s="35">
        <f t="shared" si="41"/>
        <v>70.707070707070713</v>
      </c>
      <c r="O242" s="35">
        <f t="shared" si="42"/>
        <v>18.181818181818183</v>
      </c>
      <c r="P242" s="35">
        <f t="shared" si="43"/>
        <v>11.111111111111112</v>
      </c>
      <c r="Q242" s="35">
        <f t="shared" si="44"/>
        <v>0.14285714285714288</v>
      </c>
      <c r="R242" s="35">
        <f t="shared" si="45"/>
        <v>0.16666666666666666</v>
      </c>
      <c r="S242" s="35">
        <f t="shared" si="46"/>
        <v>0.14285714285714288</v>
      </c>
      <c r="T242" s="35">
        <f t="shared" si="47"/>
        <v>0.25</v>
      </c>
      <c r="U242" s="35">
        <f t="shared" si="48"/>
        <v>0.22222222222222224</v>
      </c>
      <c r="V242" s="35">
        <f t="shared" si="49"/>
        <v>0.27272727272727271</v>
      </c>
      <c r="W242" s="35"/>
      <c r="X242" s="128">
        <v>0.12</v>
      </c>
      <c r="Y242" s="128">
        <v>0.03</v>
      </c>
      <c r="Z242" s="128">
        <v>0.02</v>
      </c>
      <c r="AA242" s="128">
        <v>0.01</v>
      </c>
      <c r="AB242" s="128">
        <v>0</v>
      </c>
      <c r="AC242" s="128">
        <v>0</v>
      </c>
      <c r="AD242" s="128">
        <v>0.08</v>
      </c>
      <c r="AE242" s="128">
        <v>0.03</v>
      </c>
      <c r="AF242" s="128">
        <v>0</v>
      </c>
      <c r="AG242" s="128">
        <v>0</v>
      </c>
      <c r="AH242" s="128">
        <v>0</v>
      </c>
      <c r="AI242" s="128">
        <v>0</v>
      </c>
    </row>
    <row r="243" spans="1:35" x14ac:dyDescent="0.2">
      <c r="A243" s="110" t="s">
        <v>891</v>
      </c>
      <c r="B243" t="s">
        <v>902</v>
      </c>
      <c r="C243" t="s">
        <v>904</v>
      </c>
      <c r="D243" s="35">
        <f t="shared" si="68"/>
        <v>0.09</v>
      </c>
      <c r="E243" s="35">
        <f t="shared" si="69"/>
        <v>0</v>
      </c>
      <c r="F243" s="35">
        <f t="shared" si="70"/>
        <v>0</v>
      </c>
      <c r="G243" s="35">
        <f t="shared" si="71"/>
        <v>0.12000000000000001</v>
      </c>
      <c r="H243" s="35">
        <f t="shared" si="72"/>
        <v>0.02</v>
      </c>
      <c r="I243" s="35">
        <f t="shared" si="73"/>
        <v>0</v>
      </c>
      <c r="J243" s="128">
        <v>0.69</v>
      </c>
      <c r="K243" s="128">
        <v>0.06</v>
      </c>
      <c r="L243" s="128">
        <v>0.02</v>
      </c>
      <c r="M243" s="114">
        <f t="shared" si="40"/>
        <v>1</v>
      </c>
      <c r="N243" s="35">
        <f t="shared" si="41"/>
        <v>77</v>
      </c>
      <c r="O243" s="35">
        <f t="shared" si="42"/>
        <v>14.000000000000002</v>
      </c>
      <c r="P243" s="35">
        <f t="shared" si="43"/>
        <v>9</v>
      </c>
      <c r="Q243" s="35">
        <f t="shared" si="44"/>
        <v>0.12987012987012989</v>
      </c>
      <c r="R243" s="35">
        <f t="shared" si="45"/>
        <v>0.14285714285714285</v>
      </c>
      <c r="S243" s="35">
        <f t="shared" si="46"/>
        <v>9.0909090909090912E-2</v>
      </c>
      <c r="T243" s="35">
        <f t="shared" si="47"/>
        <v>0.33333333333333337</v>
      </c>
      <c r="U243" s="35">
        <f t="shared" si="48"/>
        <v>0.21428571428571425</v>
      </c>
      <c r="V243" s="35">
        <f t="shared" si="49"/>
        <v>0.33333333333333331</v>
      </c>
      <c r="W243" s="35"/>
      <c r="X243" s="128">
        <v>0.1</v>
      </c>
      <c r="Y243" s="128">
        <v>0.02</v>
      </c>
      <c r="Z243" s="128">
        <v>0.01</v>
      </c>
      <c r="AA243" s="128">
        <v>0.01</v>
      </c>
      <c r="AB243" s="128">
        <v>0</v>
      </c>
      <c r="AC243" s="128">
        <v>0</v>
      </c>
      <c r="AD243" s="128">
        <v>0.06</v>
      </c>
      <c r="AE243" s="128">
        <v>0.03</v>
      </c>
      <c r="AF243" s="128">
        <v>0</v>
      </c>
      <c r="AG243" s="128">
        <v>0</v>
      </c>
      <c r="AH243" s="128">
        <v>0</v>
      </c>
      <c r="AI243" s="128">
        <v>0</v>
      </c>
    </row>
    <row r="244" spans="1:35" x14ac:dyDescent="0.2">
      <c r="A244" s="110" t="s">
        <v>891</v>
      </c>
      <c r="B244" t="s">
        <v>902</v>
      </c>
      <c r="C244" t="s">
        <v>904</v>
      </c>
      <c r="D244" s="35">
        <f t="shared" si="68"/>
        <v>0.08</v>
      </c>
      <c r="E244" s="35">
        <f t="shared" si="69"/>
        <v>0</v>
      </c>
      <c r="F244" s="35">
        <f t="shared" si="70"/>
        <v>0</v>
      </c>
      <c r="G244" s="35">
        <f t="shared" si="71"/>
        <v>0.16</v>
      </c>
      <c r="H244" s="35">
        <f t="shared" si="72"/>
        <v>0.02</v>
      </c>
      <c r="I244" s="35">
        <f t="shared" si="73"/>
        <v>0</v>
      </c>
      <c r="J244" s="128">
        <v>0.66</v>
      </c>
      <c r="K244" s="128">
        <v>0.05</v>
      </c>
      <c r="L244" s="128">
        <v>0.02</v>
      </c>
      <c r="M244" s="114">
        <f t="shared" si="40"/>
        <v>0.9900000000000001</v>
      </c>
      <c r="N244" s="35">
        <f t="shared" si="41"/>
        <v>73.73737373737373</v>
      </c>
      <c r="O244" s="35">
        <f t="shared" si="42"/>
        <v>18.18181818181818</v>
      </c>
      <c r="P244" s="35">
        <f t="shared" si="43"/>
        <v>8.0808080808080796</v>
      </c>
      <c r="Q244" s="35">
        <f t="shared" si="44"/>
        <v>0.12328767123287669</v>
      </c>
      <c r="R244" s="35">
        <f t="shared" si="45"/>
        <v>0.11111111111111112</v>
      </c>
      <c r="S244" s="35">
        <f t="shared" si="46"/>
        <v>7.1428571428571425E-2</v>
      </c>
      <c r="T244" s="35">
        <f t="shared" si="47"/>
        <v>0.25</v>
      </c>
      <c r="U244" s="35">
        <f t="shared" si="48"/>
        <v>0.22222222222222224</v>
      </c>
      <c r="V244" s="35">
        <f t="shared" si="49"/>
        <v>0.25</v>
      </c>
      <c r="W244" s="35"/>
      <c r="X244" s="128">
        <v>0.13</v>
      </c>
      <c r="Y244" s="128">
        <v>0.03</v>
      </c>
      <c r="Z244" s="128">
        <v>0.01</v>
      </c>
      <c r="AA244" s="128">
        <v>0.01</v>
      </c>
      <c r="AB244" s="128">
        <v>0</v>
      </c>
      <c r="AC244" s="128">
        <v>0</v>
      </c>
      <c r="AD244" s="128">
        <v>0.06</v>
      </c>
      <c r="AE244" s="128">
        <v>0.02</v>
      </c>
      <c r="AF244" s="128">
        <v>0</v>
      </c>
      <c r="AG244" s="128">
        <v>0</v>
      </c>
      <c r="AH244" s="128">
        <v>0</v>
      </c>
      <c r="AI244" s="128">
        <v>0</v>
      </c>
    </row>
    <row r="245" spans="1:35" x14ac:dyDescent="0.2">
      <c r="A245" s="110" t="s">
        <v>891</v>
      </c>
      <c r="B245" t="s">
        <v>902</v>
      </c>
      <c r="C245" t="s">
        <v>904</v>
      </c>
      <c r="D245" s="35">
        <f t="shared" si="68"/>
        <v>0.1</v>
      </c>
      <c r="E245" s="35">
        <f t="shared" si="69"/>
        <v>0</v>
      </c>
      <c r="F245" s="35">
        <f t="shared" si="70"/>
        <v>0</v>
      </c>
      <c r="G245" s="35">
        <f t="shared" si="71"/>
        <v>0.15</v>
      </c>
      <c r="H245" s="35">
        <f t="shared" si="72"/>
        <v>0.03</v>
      </c>
      <c r="I245" s="35">
        <f t="shared" si="73"/>
        <v>0</v>
      </c>
      <c r="J245" s="128">
        <v>0.66</v>
      </c>
      <c r="K245" s="128">
        <v>0.05</v>
      </c>
      <c r="L245" s="128">
        <v>0.02</v>
      </c>
      <c r="M245" s="114">
        <f t="shared" si="40"/>
        <v>1.01</v>
      </c>
      <c r="N245" s="35">
        <f t="shared" si="41"/>
        <v>72.277227722772281</v>
      </c>
      <c r="O245" s="35">
        <f t="shared" si="42"/>
        <v>17.82178217821782</v>
      </c>
      <c r="P245" s="35">
        <f t="shared" si="43"/>
        <v>9.9009900990099009</v>
      </c>
      <c r="Q245" s="35">
        <f t="shared" si="44"/>
        <v>0.12328767123287669</v>
      </c>
      <c r="R245" s="35">
        <f t="shared" si="45"/>
        <v>0.16666666666666666</v>
      </c>
      <c r="S245" s="35">
        <f t="shared" si="46"/>
        <v>0.14285714285714288</v>
      </c>
      <c r="T245" s="35">
        <f t="shared" si="47"/>
        <v>0.25</v>
      </c>
      <c r="U245" s="35">
        <f t="shared" si="48"/>
        <v>0.22222222222222224</v>
      </c>
      <c r="V245" s="35">
        <f t="shared" si="49"/>
        <v>0.3</v>
      </c>
      <c r="W245" s="35"/>
      <c r="X245" s="128">
        <v>0.12</v>
      </c>
      <c r="Y245" s="128">
        <v>0.03</v>
      </c>
      <c r="Z245" s="128">
        <v>0.02</v>
      </c>
      <c r="AA245" s="128">
        <v>0.01</v>
      </c>
      <c r="AB245" s="128">
        <v>0</v>
      </c>
      <c r="AC245" s="128">
        <v>0</v>
      </c>
      <c r="AD245" s="128">
        <v>7.0000000000000007E-2</v>
      </c>
      <c r="AE245" s="128">
        <v>0.03</v>
      </c>
      <c r="AF245" s="128">
        <v>0</v>
      </c>
      <c r="AG245" s="128">
        <v>0</v>
      </c>
      <c r="AH245" s="128">
        <v>0</v>
      </c>
      <c r="AI245" s="128">
        <v>0</v>
      </c>
    </row>
    <row r="246" spans="1:35" x14ac:dyDescent="0.2">
      <c r="A246" s="110" t="s">
        <v>891</v>
      </c>
      <c r="B246" t="s">
        <v>902</v>
      </c>
      <c r="C246" t="s">
        <v>904</v>
      </c>
      <c r="D246" s="35">
        <f t="shared" si="68"/>
        <v>0.1</v>
      </c>
      <c r="E246" s="35">
        <f t="shared" si="69"/>
        <v>0</v>
      </c>
      <c r="F246" s="35">
        <f t="shared" si="70"/>
        <v>0</v>
      </c>
      <c r="G246" s="35">
        <f t="shared" si="71"/>
        <v>0.18000000000000002</v>
      </c>
      <c r="H246" s="35">
        <f t="shared" si="72"/>
        <v>0</v>
      </c>
      <c r="I246" s="35">
        <f t="shared" si="73"/>
        <v>0</v>
      </c>
      <c r="J246" s="128">
        <v>0.71</v>
      </c>
      <c r="K246" s="128">
        <v>0</v>
      </c>
      <c r="L246" s="128">
        <v>0</v>
      </c>
      <c r="M246" s="114">
        <f t="shared" si="40"/>
        <v>0.99</v>
      </c>
      <c r="N246" s="35">
        <f t="shared" si="41"/>
        <v>71.717171717171709</v>
      </c>
      <c r="O246" s="35">
        <f t="shared" si="42"/>
        <v>18.181818181818183</v>
      </c>
      <c r="P246" s="35">
        <f t="shared" si="43"/>
        <v>10.101010101010102</v>
      </c>
      <c r="Q246" s="35">
        <f t="shared" si="44"/>
        <v>0</v>
      </c>
      <c r="R246" s="35">
        <f t="shared" si="45"/>
        <v>0</v>
      </c>
      <c r="S246" s="35">
        <f t="shared" si="46"/>
        <v>0</v>
      </c>
      <c r="T246" s="35">
        <f t="shared" si="47"/>
        <v>0</v>
      </c>
      <c r="U246" s="35">
        <f t="shared" si="48"/>
        <v>0.22222222222222221</v>
      </c>
      <c r="V246" s="35">
        <f t="shared" si="49"/>
        <v>0.3</v>
      </c>
      <c r="W246" s="35"/>
      <c r="X246" s="128">
        <v>0.14000000000000001</v>
      </c>
      <c r="Y246" s="128">
        <v>0.04</v>
      </c>
      <c r="Z246" s="128">
        <v>0</v>
      </c>
      <c r="AA246" s="128">
        <v>0</v>
      </c>
      <c r="AB246" s="128">
        <v>0</v>
      </c>
      <c r="AC246" s="128">
        <v>0</v>
      </c>
      <c r="AD246" s="128">
        <v>7.0000000000000007E-2</v>
      </c>
      <c r="AE246" s="128">
        <v>0.03</v>
      </c>
      <c r="AF246" s="128">
        <v>0</v>
      </c>
      <c r="AG246" s="128">
        <v>0</v>
      </c>
      <c r="AH246" s="128">
        <v>0</v>
      </c>
      <c r="AI246" s="128">
        <v>0</v>
      </c>
    </row>
    <row r="247" spans="1:35" x14ac:dyDescent="0.2">
      <c r="A247" s="110" t="s">
        <v>891</v>
      </c>
      <c r="B247" t="s">
        <v>902</v>
      </c>
      <c r="C247" t="s">
        <v>904</v>
      </c>
      <c r="D247" s="35">
        <f t="shared" si="68"/>
        <v>0.16</v>
      </c>
      <c r="E247" s="35">
        <f t="shared" si="69"/>
        <v>0</v>
      </c>
      <c r="F247" s="35">
        <f t="shared" si="70"/>
        <v>0</v>
      </c>
      <c r="G247" s="35">
        <f t="shared" si="71"/>
        <v>0.16</v>
      </c>
      <c r="H247" s="35">
        <f t="shared" si="72"/>
        <v>0.03</v>
      </c>
      <c r="I247" s="35">
        <f t="shared" si="73"/>
        <v>0</v>
      </c>
      <c r="J247" s="128">
        <v>0.57999999999999996</v>
      </c>
      <c r="K247" s="128">
        <v>0.06</v>
      </c>
      <c r="L247" s="128">
        <v>0.02</v>
      </c>
      <c r="M247" s="114">
        <f t="shared" si="40"/>
        <v>1.01</v>
      </c>
      <c r="N247" s="35">
        <f t="shared" si="41"/>
        <v>65.346534653465341</v>
      </c>
      <c r="O247" s="35">
        <f t="shared" si="42"/>
        <v>18.811881188118811</v>
      </c>
      <c r="P247" s="35">
        <f t="shared" si="43"/>
        <v>15.841584158415841</v>
      </c>
      <c r="Q247" s="35">
        <f t="shared" si="44"/>
        <v>0.15151515151515155</v>
      </c>
      <c r="R247" s="35">
        <f t="shared" si="45"/>
        <v>0.15789473684210525</v>
      </c>
      <c r="S247" s="35">
        <f t="shared" si="46"/>
        <v>0.14285714285714288</v>
      </c>
      <c r="T247" s="35">
        <f t="shared" si="47"/>
        <v>0.19999999999999998</v>
      </c>
      <c r="U247" s="35">
        <f t="shared" si="48"/>
        <v>0.26315789473684209</v>
      </c>
      <c r="V247" s="35">
        <f t="shared" si="49"/>
        <v>0.25</v>
      </c>
      <c r="W247" s="35"/>
      <c r="X247" s="128">
        <v>0.12</v>
      </c>
      <c r="Y247" s="128">
        <v>0.04</v>
      </c>
      <c r="Z247" s="128">
        <v>0.02</v>
      </c>
      <c r="AA247" s="128">
        <v>0.01</v>
      </c>
      <c r="AB247" s="128">
        <v>0</v>
      </c>
      <c r="AC247" s="128">
        <v>0</v>
      </c>
      <c r="AD247" s="128">
        <v>0.12</v>
      </c>
      <c r="AE247" s="128">
        <v>0.04</v>
      </c>
      <c r="AF247" s="128">
        <v>0</v>
      </c>
      <c r="AG247" s="128">
        <v>0</v>
      </c>
      <c r="AH247" s="128">
        <v>0</v>
      </c>
      <c r="AI247" s="128">
        <v>0</v>
      </c>
    </row>
    <row r="248" spans="1:35" x14ac:dyDescent="0.2">
      <c r="A248" s="110" t="s">
        <v>891</v>
      </c>
      <c r="B248" t="s">
        <v>902</v>
      </c>
      <c r="C248" t="s">
        <v>904</v>
      </c>
      <c r="D248" s="35">
        <f t="shared" si="68"/>
        <v>0.19</v>
      </c>
      <c r="E248" s="35">
        <f t="shared" si="69"/>
        <v>0</v>
      </c>
      <c r="F248" s="35">
        <f t="shared" si="70"/>
        <v>0</v>
      </c>
      <c r="G248" s="35">
        <f t="shared" si="71"/>
        <v>0.14000000000000001</v>
      </c>
      <c r="H248" s="35">
        <f t="shared" si="72"/>
        <v>0</v>
      </c>
      <c r="I248" s="35">
        <f t="shared" si="73"/>
        <v>0</v>
      </c>
      <c r="J248" s="128">
        <v>0.67</v>
      </c>
      <c r="K248" s="128">
        <v>0</v>
      </c>
      <c r="L248" s="128">
        <v>0</v>
      </c>
      <c r="M248" s="114">
        <f t="shared" si="40"/>
        <v>1</v>
      </c>
      <c r="N248" s="35">
        <f t="shared" si="41"/>
        <v>67</v>
      </c>
      <c r="O248" s="35">
        <f t="shared" si="42"/>
        <v>14.000000000000002</v>
      </c>
      <c r="P248" s="35">
        <f t="shared" si="43"/>
        <v>19</v>
      </c>
      <c r="Q248" s="35">
        <f t="shared" si="44"/>
        <v>0</v>
      </c>
      <c r="R248" s="35">
        <f t="shared" si="45"/>
        <v>0</v>
      </c>
      <c r="S248" s="35">
        <f t="shared" si="46"/>
        <v>0</v>
      </c>
      <c r="T248" s="35"/>
      <c r="U248" s="35">
        <f t="shared" si="48"/>
        <v>0</v>
      </c>
      <c r="V248" s="35">
        <f t="shared" si="49"/>
        <v>0.31578947368421051</v>
      </c>
      <c r="W248" s="35"/>
      <c r="X248" s="128">
        <v>0.14000000000000001</v>
      </c>
      <c r="Y248" s="128">
        <v>0</v>
      </c>
      <c r="Z248" s="128">
        <v>0</v>
      </c>
      <c r="AA248" s="128">
        <v>0</v>
      </c>
      <c r="AB248" s="128">
        <v>0</v>
      </c>
      <c r="AC248" s="128">
        <v>0</v>
      </c>
      <c r="AD248" s="128">
        <v>0.13</v>
      </c>
      <c r="AE248" s="128">
        <v>0.06</v>
      </c>
      <c r="AF248" s="128">
        <v>0</v>
      </c>
      <c r="AG248" s="128">
        <v>0</v>
      </c>
      <c r="AH248" s="128">
        <v>0</v>
      </c>
      <c r="AI248" s="128">
        <v>0</v>
      </c>
    </row>
    <row r="249" spans="1:35" x14ac:dyDescent="0.2">
      <c r="A249" s="110" t="s">
        <v>891</v>
      </c>
      <c r="B249" t="s">
        <v>902</v>
      </c>
      <c r="C249" t="s">
        <v>904</v>
      </c>
      <c r="D249" s="35">
        <f t="shared" si="68"/>
        <v>0.16</v>
      </c>
      <c r="E249" s="35">
        <f t="shared" si="69"/>
        <v>0</v>
      </c>
      <c r="F249" s="35">
        <f t="shared" si="70"/>
        <v>0</v>
      </c>
      <c r="G249" s="35">
        <f t="shared" si="71"/>
        <v>0.15</v>
      </c>
      <c r="H249" s="35">
        <f t="shared" si="72"/>
        <v>0.03</v>
      </c>
      <c r="I249" s="35">
        <f t="shared" si="73"/>
        <v>0</v>
      </c>
      <c r="J249" s="128">
        <v>0.57999999999999996</v>
      </c>
      <c r="K249" s="128">
        <v>0.06</v>
      </c>
      <c r="L249" s="128">
        <v>0.03</v>
      </c>
      <c r="M249" s="114">
        <f t="shared" si="40"/>
        <v>1.01</v>
      </c>
      <c r="N249" s="35">
        <f t="shared" si="41"/>
        <v>66.336633663366328</v>
      </c>
      <c r="O249" s="35">
        <f t="shared" si="42"/>
        <v>17.82178217821782</v>
      </c>
      <c r="P249" s="35">
        <f t="shared" si="43"/>
        <v>15.841584158415841</v>
      </c>
      <c r="Q249" s="35">
        <f t="shared" si="44"/>
        <v>0.17910447761194032</v>
      </c>
      <c r="R249" s="35">
        <f t="shared" si="45"/>
        <v>0.16666666666666666</v>
      </c>
      <c r="S249" s="35">
        <f t="shared" si="46"/>
        <v>0.15384615384615385</v>
      </c>
      <c r="T249" s="35">
        <f t="shared" si="47"/>
        <v>0.19999999999999998</v>
      </c>
      <c r="U249" s="35">
        <f t="shared" si="48"/>
        <v>0.27777777777777779</v>
      </c>
      <c r="V249" s="35">
        <f t="shared" si="49"/>
        <v>0.25</v>
      </c>
      <c r="W249" s="35"/>
      <c r="X249" s="128">
        <v>0.11</v>
      </c>
      <c r="Y249" s="128">
        <v>0.04</v>
      </c>
      <c r="Z249" s="128">
        <v>0.02</v>
      </c>
      <c r="AA249" s="128">
        <v>0.01</v>
      </c>
      <c r="AB249" s="128">
        <v>0</v>
      </c>
      <c r="AC249" s="128">
        <v>0</v>
      </c>
      <c r="AD249" s="128">
        <v>0.12</v>
      </c>
      <c r="AE249" s="128">
        <v>0.04</v>
      </c>
      <c r="AF249" s="128">
        <v>0</v>
      </c>
      <c r="AG249" s="128">
        <v>0</v>
      </c>
      <c r="AH249" s="128">
        <v>0</v>
      </c>
      <c r="AI249" s="128">
        <v>0</v>
      </c>
    </row>
    <row r="250" spans="1:35" x14ac:dyDescent="0.2">
      <c r="A250" s="110" t="s">
        <v>891</v>
      </c>
      <c r="B250" t="s">
        <v>902</v>
      </c>
      <c r="C250" t="s">
        <v>904</v>
      </c>
      <c r="D250" s="35">
        <f t="shared" si="68"/>
        <v>0.1</v>
      </c>
      <c r="E250" s="35">
        <f t="shared" si="69"/>
        <v>0</v>
      </c>
      <c r="F250" s="35">
        <f t="shared" si="70"/>
        <v>0</v>
      </c>
      <c r="G250" s="35">
        <f t="shared" si="71"/>
        <v>0.18</v>
      </c>
      <c r="H250" s="35">
        <f t="shared" si="72"/>
        <v>0.03</v>
      </c>
      <c r="I250" s="35">
        <f t="shared" si="73"/>
        <v>0.01</v>
      </c>
      <c r="J250" s="128">
        <v>0.57999999999999996</v>
      </c>
      <c r="K250" s="128">
        <v>7.0000000000000007E-2</v>
      </c>
      <c r="L250" s="128">
        <v>0.03</v>
      </c>
      <c r="M250" s="114">
        <f t="shared" si="40"/>
        <v>1</v>
      </c>
      <c r="N250" s="35">
        <f t="shared" si="41"/>
        <v>68</v>
      </c>
      <c r="O250" s="35">
        <f t="shared" si="42"/>
        <v>22</v>
      </c>
      <c r="P250" s="35">
        <f t="shared" si="43"/>
        <v>10</v>
      </c>
      <c r="Q250" s="35">
        <f t="shared" si="44"/>
        <v>0.19117647058823531</v>
      </c>
      <c r="R250" s="35">
        <f t="shared" si="45"/>
        <v>0.22727272727272729</v>
      </c>
      <c r="S250" s="35">
        <f t="shared" si="46"/>
        <v>0.22222222222222224</v>
      </c>
      <c r="T250" s="35">
        <f t="shared" si="47"/>
        <v>0.25</v>
      </c>
      <c r="U250" s="35">
        <f t="shared" si="48"/>
        <v>0.18181818181818182</v>
      </c>
      <c r="V250" s="35">
        <f t="shared" si="49"/>
        <v>0.3</v>
      </c>
      <c r="W250" s="35"/>
      <c r="X250" s="128">
        <v>0.15</v>
      </c>
      <c r="Y250" s="128">
        <v>0.03</v>
      </c>
      <c r="Z250" s="128">
        <v>0.02</v>
      </c>
      <c r="AA250" s="128">
        <v>0.01</v>
      </c>
      <c r="AB250" s="128">
        <v>0.01</v>
      </c>
      <c r="AC250" s="128">
        <v>0</v>
      </c>
      <c r="AD250" s="128">
        <v>7.0000000000000007E-2</v>
      </c>
      <c r="AE250" s="128">
        <v>0.03</v>
      </c>
      <c r="AF250" s="128">
        <v>0</v>
      </c>
      <c r="AG250" s="128">
        <v>0</v>
      </c>
      <c r="AH250" s="128">
        <v>0</v>
      </c>
      <c r="AI250" s="128">
        <v>0</v>
      </c>
    </row>
    <row r="251" spans="1:35" x14ac:dyDescent="0.2">
      <c r="A251" s="110" t="s">
        <v>891</v>
      </c>
      <c r="B251" t="s">
        <v>902</v>
      </c>
      <c r="C251" t="s">
        <v>904</v>
      </c>
      <c r="D251" s="35">
        <f t="shared" si="68"/>
        <v>0.11</v>
      </c>
      <c r="E251" s="35">
        <f t="shared" si="69"/>
        <v>0</v>
      </c>
      <c r="F251" s="35">
        <f t="shared" si="70"/>
        <v>0</v>
      </c>
      <c r="G251" s="35">
        <f t="shared" si="71"/>
        <v>0.2</v>
      </c>
      <c r="H251" s="35">
        <f t="shared" si="72"/>
        <v>0.02</v>
      </c>
      <c r="I251" s="35">
        <f t="shared" si="73"/>
        <v>0</v>
      </c>
      <c r="J251" s="128">
        <v>0.57999999999999996</v>
      </c>
      <c r="K251" s="128">
        <v>7.0000000000000007E-2</v>
      </c>
      <c r="L251" s="128">
        <v>0.03</v>
      </c>
      <c r="M251" s="114">
        <f t="shared" si="40"/>
        <v>1.01</v>
      </c>
      <c r="N251" s="35">
        <f t="shared" si="41"/>
        <v>67.326732673267315</v>
      </c>
      <c r="O251" s="35">
        <f t="shared" si="42"/>
        <v>21.782178217821784</v>
      </c>
      <c r="P251" s="35">
        <f t="shared" si="43"/>
        <v>10.891089108910892</v>
      </c>
      <c r="Q251" s="35">
        <f t="shared" si="44"/>
        <v>0.19117647058823531</v>
      </c>
      <c r="R251" s="35">
        <f t="shared" si="45"/>
        <v>9.0909090909090912E-2</v>
      </c>
      <c r="S251" s="35">
        <f t="shared" si="46"/>
        <v>0.10526315789473684</v>
      </c>
      <c r="T251" s="35">
        <f t="shared" si="47"/>
        <v>0</v>
      </c>
      <c r="U251" s="35">
        <f t="shared" si="48"/>
        <v>0.13636363636363635</v>
      </c>
      <c r="V251" s="35">
        <f t="shared" si="49"/>
        <v>0.27272727272727271</v>
      </c>
      <c r="W251" s="35"/>
      <c r="X251" s="128">
        <v>0.17</v>
      </c>
      <c r="Y251" s="128">
        <v>0.03</v>
      </c>
      <c r="Z251" s="128">
        <v>0.02</v>
      </c>
      <c r="AA251" s="128">
        <v>0</v>
      </c>
      <c r="AB251" s="128">
        <v>0</v>
      </c>
      <c r="AC251" s="128">
        <v>0</v>
      </c>
      <c r="AD251" s="128">
        <v>0.08</v>
      </c>
      <c r="AE251" s="128">
        <v>0.03</v>
      </c>
      <c r="AF251" s="128">
        <v>0</v>
      </c>
      <c r="AG251" s="128">
        <v>0</v>
      </c>
      <c r="AH251" s="128">
        <v>0</v>
      </c>
      <c r="AI251" s="128">
        <v>0</v>
      </c>
    </row>
    <row r="252" spans="1:35" x14ac:dyDescent="0.2">
      <c r="A252" s="110" t="s">
        <v>891</v>
      </c>
      <c r="B252" t="s">
        <v>902</v>
      </c>
      <c r="C252" t="s">
        <v>904</v>
      </c>
      <c r="D252" s="35">
        <f t="shared" si="68"/>
        <v>0.16</v>
      </c>
      <c r="E252" s="35">
        <f t="shared" si="69"/>
        <v>0</v>
      </c>
      <c r="F252" s="35">
        <f t="shared" si="70"/>
        <v>0</v>
      </c>
      <c r="G252" s="35">
        <f t="shared" si="71"/>
        <v>0.18</v>
      </c>
      <c r="H252" s="35">
        <f t="shared" si="72"/>
        <v>0</v>
      </c>
      <c r="I252" s="35">
        <f t="shared" si="73"/>
        <v>0</v>
      </c>
      <c r="J252" s="128">
        <v>0.6</v>
      </c>
      <c r="K252" s="128">
        <v>0.06</v>
      </c>
      <c r="L252" s="128">
        <v>0</v>
      </c>
      <c r="M252" s="114">
        <f t="shared" si="40"/>
        <v>1</v>
      </c>
      <c r="N252" s="35">
        <f t="shared" si="41"/>
        <v>65.999999999999986</v>
      </c>
      <c r="O252" s="35">
        <f t="shared" si="42"/>
        <v>18</v>
      </c>
      <c r="P252" s="35">
        <f t="shared" si="43"/>
        <v>16</v>
      </c>
      <c r="Q252" s="35">
        <f t="shared" si="44"/>
        <v>9.0909090909090912E-2</v>
      </c>
      <c r="R252" s="35">
        <f t="shared" si="45"/>
        <v>0</v>
      </c>
      <c r="S252" s="35">
        <f t="shared" si="46"/>
        <v>0</v>
      </c>
      <c r="T252" s="35">
        <f t="shared" si="47"/>
        <v>0</v>
      </c>
      <c r="U252" s="35">
        <f t="shared" si="48"/>
        <v>0.16666666666666666</v>
      </c>
      <c r="V252" s="35">
        <f t="shared" si="49"/>
        <v>0.43750000000000006</v>
      </c>
      <c r="W252" s="35"/>
      <c r="X252" s="128">
        <v>0.15</v>
      </c>
      <c r="Y252" s="128">
        <v>0.03</v>
      </c>
      <c r="Z252" s="128">
        <v>0</v>
      </c>
      <c r="AA252" s="128">
        <v>0</v>
      </c>
      <c r="AB252" s="128">
        <v>0</v>
      </c>
      <c r="AC252" s="128">
        <v>0</v>
      </c>
      <c r="AD252" s="128">
        <v>0.09</v>
      </c>
      <c r="AE252" s="128">
        <v>7.0000000000000007E-2</v>
      </c>
      <c r="AF252" s="128">
        <v>0</v>
      </c>
      <c r="AG252" s="128">
        <v>0</v>
      </c>
      <c r="AH252" s="128">
        <v>0</v>
      </c>
      <c r="AI252" s="128">
        <v>0</v>
      </c>
    </row>
    <row r="253" spans="1:35" x14ac:dyDescent="0.2">
      <c r="A253" s="110" t="s">
        <v>891</v>
      </c>
      <c r="B253" t="s">
        <v>902</v>
      </c>
      <c r="C253" t="s">
        <v>904</v>
      </c>
      <c r="D253" s="35">
        <f t="shared" si="68"/>
        <v>0.12</v>
      </c>
      <c r="E253" s="35">
        <f t="shared" si="69"/>
        <v>0</v>
      </c>
      <c r="F253" s="35">
        <f t="shared" si="70"/>
        <v>0</v>
      </c>
      <c r="G253" s="35">
        <f t="shared" si="71"/>
        <v>0.15</v>
      </c>
      <c r="H253" s="35">
        <f t="shared" si="72"/>
        <v>0.04</v>
      </c>
      <c r="I253" s="35">
        <f t="shared" si="73"/>
        <v>0</v>
      </c>
      <c r="J253" s="128">
        <v>0.61</v>
      </c>
      <c r="K253" s="128">
        <v>0.06</v>
      </c>
      <c r="L253" s="128">
        <v>0.03</v>
      </c>
      <c r="M253" s="114">
        <f t="shared" si="40"/>
        <v>1.01</v>
      </c>
      <c r="N253" s="35">
        <f t="shared" si="41"/>
        <v>69.306930693069305</v>
      </c>
      <c r="O253" s="35">
        <f t="shared" si="42"/>
        <v>18.811881188118811</v>
      </c>
      <c r="P253" s="35">
        <f t="shared" si="43"/>
        <v>11.881188118811881</v>
      </c>
      <c r="Q253" s="35">
        <f t="shared" si="44"/>
        <v>0.17142857142857143</v>
      </c>
      <c r="R253" s="35">
        <f t="shared" si="45"/>
        <v>0.21052631578947367</v>
      </c>
      <c r="S253" s="35">
        <f t="shared" si="46"/>
        <v>0.14285714285714288</v>
      </c>
      <c r="T253" s="35">
        <f t="shared" si="47"/>
        <v>0.39999999999999997</v>
      </c>
      <c r="U253" s="35">
        <f t="shared" si="48"/>
        <v>0.26315789473684209</v>
      </c>
      <c r="V253" s="35">
        <f t="shared" si="49"/>
        <v>0.5</v>
      </c>
      <c r="W253" s="35"/>
      <c r="X253" s="128">
        <v>0.12</v>
      </c>
      <c r="Y253" s="128">
        <v>0.03</v>
      </c>
      <c r="Z253" s="128">
        <v>0.02</v>
      </c>
      <c r="AA253" s="128">
        <v>0.02</v>
      </c>
      <c r="AB253" s="128">
        <v>0</v>
      </c>
      <c r="AC253" s="128">
        <v>0</v>
      </c>
      <c r="AD253" s="128">
        <v>0.06</v>
      </c>
      <c r="AE253" s="128">
        <v>0.06</v>
      </c>
      <c r="AF253" s="128">
        <v>0</v>
      </c>
      <c r="AG253" s="128">
        <v>0</v>
      </c>
      <c r="AH253" s="128">
        <v>0</v>
      </c>
      <c r="AI253" s="128">
        <v>0</v>
      </c>
    </row>
    <row r="254" spans="1:35" x14ac:dyDescent="0.2">
      <c r="A254" s="110" t="s">
        <v>891</v>
      </c>
      <c r="B254" t="s">
        <v>902</v>
      </c>
      <c r="C254" t="s">
        <v>904</v>
      </c>
      <c r="D254" s="35">
        <f t="shared" si="68"/>
        <v>0.15000000000000002</v>
      </c>
      <c r="E254" s="35">
        <f t="shared" si="69"/>
        <v>0</v>
      </c>
      <c r="F254" s="35">
        <f t="shared" si="70"/>
        <v>0</v>
      </c>
      <c r="G254" s="35">
        <f t="shared" si="71"/>
        <v>0.19</v>
      </c>
      <c r="H254" s="35">
        <f t="shared" si="72"/>
        <v>0.03</v>
      </c>
      <c r="I254" s="35">
        <f t="shared" si="73"/>
        <v>0</v>
      </c>
      <c r="J254" s="128">
        <v>0.56000000000000005</v>
      </c>
      <c r="K254" s="128">
        <v>0.06</v>
      </c>
      <c r="L254" s="128">
        <v>0</v>
      </c>
      <c r="M254" s="114">
        <f t="shared" si="40"/>
        <v>0.99</v>
      </c>
      <c r="N254" s="35">
        <f t="shared" si="41"/>
        <v>62.626262626262644</v>
      </c>
      <c r="O254" s="35">
        <f t="shared" si="42"/>
        <v>22.222222222222225</v>
      </c>
      <c r="P254" s="35">
        <f t="shared" si="43"/>
        <v>15.151515151515154</v>
      </c>
      <c r="Q254" s="35">
        <f t="shared" si="44"/>
        <v>9.677419354838708E-2</v>
      </c>
      <c r="R254" s="35">
        <f t="shared" si="45"/>
        <v>0.13636363636363635</v>
      </c>
      <c r="S254" s="35">
        <f t="shared" si="46"/>
        <v>0.16666666666666666</v>
      </c>
      <c r="T254" s="35">
        <f t="shared" si="47"/>
        <v>0</v>
      </c>
      <c r="U254" s="35">
        <f t="shared" si="48"/>
        <v>0.18181818181818182</v>
      </c>
      <c r="V254" s="35">
        <f t="shared" si="49"/>
        <v>0.46666666666666662</v>
      </c>
      <c r="W254" s="35"/>
      <c r="X254" s="128">
        <v>0.15</v>
      </c>
      <c r="Y254" s="128">
        <v>0.04</v>
      </c>
      <c r="Z254" s="128">
        <v>0.03</v>
      </c>
      <c r="AA254" s="128">
        <v>0</v>
      </c>
      <c r="AB254" s="128">
        <v>0</v>
      </c>
      <c r="AC254" s="128">
        <v>0</v>
      </c>
      <c r="AD254" s="128">
        <v>0.08</v>
      </c>
      <c r="AE254" s="128">
        <v>7.0000000000000007E-2</v>
      </c>
      <c r="AF254" s="128">
        <v>0</v>
      </c>
      <c r="AG254" s="128">
        <v>0</v>
      </c>
      <c r="AH254" s="128">
        <v>0</v>
      </c>
      <c r="AI254" s="128">
        <v>0</v>
      </c>
    </row>
    <row r="255" spans="1:35" x14ac:dyDescent="0.2">
      <c r="A255" s="110" t="s">
        <v>891</v>
      </c>
      <c r="B255" t="s">
        <v>902</v>
      </c>
      <c r="C255" t="s">
        <v>904</v>
      </c>
      <c r="D255" s="35">
        <f t="shared" si="68"/>
        <v>0.15000000000000002</v>
      </c>
      <c r="E255" s="35">
        <f t="shared" si="69"/>
        <v>0</v>
      </c>
      <c r="F255" s="35">
        <f t="shared" si="70"/>
        <v>0</v>
      </c>
      <c r="G255" s="35">
        <f t="shared" si="71"/>
        <v>0.15</v>
      </c>
      <c r="H255" s="35">
        <f t="shared" si="72"/>
        <v>0.05</v>
      </c>
      <c r="I255" s="35">
        <f t="shared" si="73"/>
        <v>0.01</v>
      </c>
      <c r="J255" s="128">
        <v>0.54</v>
      </c>
      <c r="K255" s="128">
        <v>0.06</v>
      </c>
      <c r="L255" s="128">
        <v>0.03</v>
      </c>
      <c r="M255" s="114">
        <f t="shared" si="40"/>
        <v>0.99000000000000021</v>
      </c>
      <c r="N255" s="35">
        <f t="shared" si="41"/>
        <v>63.636363636363633</v>
      </c>
      <c r="O255" s="35">
        <f t="shared" si="42"/>
        <v>21.212121212121211</v>
      </c>
      <c r="P255" s="35">
        <f t="shared" si="43"/>
        <v>15.151515151515149</v>
      </c>
      <c r="Q255" s="35">
        <f t="shared" si="44"/>
        <v>0.19047619047619044</v>
      </c>
      <c r="R255" s="35">
        <f t="shared" si="45"/>
        <v>0.33333333333333331</v>
      </c>
      <c r="S255" s="35">
        <f t="shared" si="46"/>
        <v>0.3125</v>
      </c>
      <c r="T255" s="35">
        <f t="shared" si="47"/>
        <v>0.39999999999999997</v>
      </c>
      <c r="U255" s="35">
        <f t="shared" si="48"/>
        <v>0.23809523809523808</v>
      </c>
      <c r="V255" s="35">
        <f t="shared" si="49"/>
        <v>0.46666666666666662</v>
      </c>
      <c r="W255" s="35"/>
      <c r="X255" s="128">
        <v>0.12</v>
      </c>
      <c r="Y255" s="128">
        <v>0.03</v>
      </c>
      <c r="Z255" s="128">
        <v>0.03</v>
      </c>
      <c r="AA255" s="128">
        <v>0.02</v>
      </c>
      <c r="AB255" s="128">
        <v>0.01</v>
      </c>
      <c r="AC255" s="128">
        <v>0</v>
      </c>
      <c r="AD255" s="128">
        <v>0.08</v>
      </c>
      <c r="AE255" s="128">
        <v>7.0000000000000007E-2</v>
      </c>
      <c r="AF255" s="128">
        <v>0</v>
      </c>
      <c r="AG255" s="128">
        <v>0</v>
      </c>
      <c r="AH255" s="128">
        <v>0</v>
      </c>
      <c r="AI255" s="128">
        <v>0</v>
      </c>
    </row>
    <row r="256" spans="1:35" x14ac:dyDescent="0.2">
      <c r="A256" s="110" t="s">
        <v>891</v>
      </c>
      <c r="B256" t="s">
        <v>902</v>
      </c>
      <c r="C256" t="s">
        <v>904</v>
      </c>
      <c r="D256" s="35">
        <f t="shared" si="68"/>
        <v>0.1</v>
      </c>
      <c r="E256" s="35">
        <f t="shared" si="69"/>
        <v>0</v>
      </c>
      <c r="F256" s="35">
        <f t="shared" si="70"/>
        <v>0</v>
      </c>
      <c r="G256" s="35">
        <f t="shared" si="71"/>
        <v>0.17</v>
      </c>
      <c r="H256" s="35">
        <f t="shared" si="72"/>
        <v>0.03</v>
      </c>
      <c r="I256" s="35">
        <f t="shared" si="73"/>
        <v>0</v>
      </c>
      <c r="J256" s="128">
        <v>0.61</v>
      </c>
      <c r="K256" s="128">
        <v>0.06</v>
      </c>
      <c r="L256" s="128">
        <v>0.03</v>
      </c>
      <c r="M256" s="114">
        <f t="shared" si="40"/>
        <v>1</v>
      </c>
      <c r="N256" s="35">
        <f t="shared" si="41"/>
        <v>70</v>
      </c>
      <c r="O256" s="35">
        <f t="shared" si="42"/>
        <v>20</v>
      </c>
      <c r="P256" s="35">
        <f t="shared" si="43"/>
        <v>10</v>
      </c>
      <c r="Q256" s="35">
        <f t="shared" si="44"/>
        <v>0.17142857142857143</v>
      </c>
      <c r="R256" s="35">
        <f t="shared" si="45"/>
        <v>0.15</v>
      </c>
      <c r="S256" s="35">
        <f t="shared" si="46"/>
        <v>0.125</v>
      </c>
      <c r="T256" s="35">
        <f t="shared" si="47"/>
        <v>0.25</v>
      </c>
      <c r="U256" s="35">
        <f t="shared" si="48"/>
        <v>0.19999999999999998</v>
      </c>
      <c r="V256" s="35">
        <f t="shared" si="49"/>
        <v>0.39999999999999997</v>
      </c>
      <c r="W256" s="35"/>
      <c r="X256" s="128">
        <v>0.14000000000000001</v>
      </c>
      <c r="Y256" s="128">
        <v>0.03</v>
      </c>
      <c r="Z256" s="128">
        <v>0.02</v>
      </c>
      <c r="AA256" s="128">
        <v>0.01</v>
      </c>
      <c r="AB256" s="128">
        <v>0</v>
      </c>
      <c r="AC256" s="128">
        <v>0</v>
      </c>
      <c r="AD256" s="128">
        <v>0.06</v>
      </c>
      <c r="AE256" s="128">
        <v>0.04</v>
      </c>
      <c r="AF256" s="128">
        <v>0</v>
      </c>
      <c r="AG256" s="128">
        <v>0</v>
      </c>
      <c r="AH256" s="128">
        <v>0</v>
      </c>
      <c r="AI256" s="128">
        <v>0</v>
      </c>
    </row>
    <row r="257" spans="1:35" x14ac:dyDescent="0.2">
      <c r="A257" s="110" t="s">
        <v>891</v>
      </c>
      <c r="B257" t="s">
        <v>902</v>
      </c>
      <c r="C257" t="s">
        <v>904</v>
      </c>
      <c r="D257" s="35">
        <f t="shared" si="68"/>
        <v>0.1</v>
      </c>
      <c r="E257" s="35">
        <f t="shared" si="69"/>
        <v>0</v>
      </c>
      <c r="F257" s="35">
        <f t="shared" si="70"/>
        <v>0</v>
      </c>
      <c r="G257" s="35">
        <f t="shared" si="71"/>
        <v>0.16</v>
      </c>
      <c r="H257" s="35">
        <f t="shared" si="72"/>
        <v>0.03</v>
      </c>
      <c r="I257" s="35">
        <f t="shared" si="73"/>
        <v>0</v>
      </c>
      <c r="J257" s="128">
        <v>0.63</v>
      </c>
      <c r="K257" s="128">
        <v>0.05</v>
      </c>
      <c r="L257" s="128">
        <v>0.03</v>
      </c>
      <c r="M257" s="114">
        <f t="shared" si="40"/>
        <v>1</v>
      </c>
      <c r="N257" s="35">
        <f t="shared" si="41"/>
        <v>71.000000000000014</v>
      </c>
      <c r="O257" s="35">
        <f t="shared" si="42"/>
        <v>19</v>
      </c>
      <c r="P257" s="35">
        <f t="shared" si="43"/>
        <v>10</v>
      </c>
      <c r="Q257" s="35">
        <f t="shared" si="44"/>
        <v>0.15492957746478872</v>
      </c>
      <c r="R257" s="35">
        <f t="shared" si="45"/>
        <v>0.15789473684210525</v>
      </c>
      <c r="S257" s="35">
        <f t="shared" si="46"/>
        <v>0.13333333333333333</v>
      </c>
      <c r="T257" s="35">
        <f t="shared" si="47"/>
        <v>0.25</v>
      </c>
      <c r="U257" s="35">
        <f t="shared" si="48"/>
        <v>0.21052631578947367</v>
      </c>
      <c r="V257" s="35">
        <f t="shared" si="49"/>
        <v>0.6</v>
      </c>
      <c r="W257" s="35"/>
      <c r="X257" s="128">
        <v>0.13</v>
      </c>
      <c r="Y257" s="128">
        <v>0.03</v>
      </c>
      <c r="Z257" s="128">
        <v>0.02</v>
      </c>
      <c r="AA257" s="128">
        <v>0.01</v>
      </c>
      <c r="AB257" s="128">
        <v>0</v>
      </c>
      <c r="AC257" s="128">
        <v>0</v>
      </c>
      <c r="AD257" s="128">
        <v>0.04</v>
      </c>
      <c r="AE257" s="128">
        <v>0.06</v>
      </c>
      <c r="AF257" s="128">
        <v>0</v>
      </c>
      <c r="AG257" s="128">
        <v>0</v>
      </c>
      <c r="AH257" s="128">
        <v>0</v>
      </c>
      <c r="AI257" s="128">
        <v>0</v>
      </c>
    </row>
    <row r="258" spans="1:35" x14ac:dyDescent="0.2">
      <c r="A258" s="110" t="s">
        <v>891</v>
      </c>
      <c r="B258" t="s">
        <v>902</v>
      </c>
      <c r="C258" t="s">
        <v>904</v>
      </c>
      <c r="D258" s="35">
        <f t="shared" si="68"/>
        <v>0.17</v>
      </c>
      <c r="E258" s="35">
        <f t="shared" si="69"/>
        <v>0.01</v>
      </c>
      <c r="F258" s="35">
        <f t="shared" si="70"/>
        <v>0</v>
      </c>
      <c r="G258" s="35">
        <f t="shared" si="71"/>
        <v>0.19</v>
      </c>
      <c r="H258" s="35">
        <f t="shared" si="72"/>
        <v>0.05</v>
      </c>
      <c r="I258" s="35">
        <f t="shared" si="73"/>
        <v>0.02</v>
      </c>
      <c r="J258" s="128">
        <v>0.51</v>
      </c>
      <c r="K258" s="128">
        <v>0.05</v>
      </c>
      <c r="L258" s="128">
        <v>0.02</v>
      </c>
      <c r="M258" s="114">
        <f t="shared" si="40"/>
        <v>1.02</v>
      </c>
      <c r="N258" s="35">
        <f t="shared" si="41"/>
        <v>56.862745098039227</v>
      </c>
      <c r="O258" s="35">
        <f t="shared" si="42"/>
        <v>25.490196078431371</v>
      </c>
      <c r="P258" s="35">
        <f t="shared" si="43"/>
        <v>17.647058823529413</v>
      </c>
      <c r="Q258" s="35">
        <f t="shared" si="44"/>
        <v>0.15517241379310343</v>
      </c>
      <c r="R258" s="35">
        <f t="shared" si="45"/>
        <v>0.34615384615384615</v>
      </c>
      <c r="S258" s="35">
        <f t="shared" si="46"/>
        <v>0.26315789473684209</v>
      </c>
      <c r="T258" s="35">
        <f t="shared" si="47"/>
        <v>0.57142857142857151</v>
      </c>
      <c r="U258" s="35">
        <f t="shared" si="48"/>
        <v>0.26923076923076922</v>
      </c>
      <c r="V258" s="35">
        <f t="shared" si="49"/>
        <v>0.44444444444444442</v>
      </c>
      <c r="W258" s="35"/>
      <c r="X258" s="128">
        <v>0.15</v>
      </c>
      <c r="Y258" s="128">
        <v>0.04</v>
      </c>
      <c r="Z258" s="128">
        <v>0.03</v>
      </c>
      <c r="AA258" s="128">
        <v>0.02</v>
      </c>
      <c r="AB258" s="128">
        <v>0.01</v>
      </c>
      <c r="AC258" s="128">
        <v>0.01</v>
      </c>
      <c r="AD258" s="128">
        <v>0.1</v>
      </c>
      <c r="AE258" s="128">
        <v>7.0000000000000007E-2</v>
      </c>
      <c r="AF258" s="128">
        <v>0</v>
      </c>
      <c r="AG258" s="128">
        <v>0.01</v>
      </c>
      <c r="AH258" s="128">
        <v>0</v>
      </c>
      <c r="AI258" s="128">
        <v>0</v>
      </c>
    </row>
    <row r="259" spans="1:35" x14ac:dyDescent="0.2">
      <c r="A259" s="110" t="s">
        <v>891</v>
      </c>
      <c r="B259" t="s">
        <v>902</v>
      </c>
      <c r="C259" t="s">
        <v>904</v>
      </c>
      <c r="D259" s="35">
        <f t="shared" si="68"/>
        <v>0.12000000000000001</v>
      </c>
      <c r="E259" s="35">
        <f t="shared" si="69"/>
        <v>0</v>
      </c>
      <c r="F259" s="35">
        <f t="shared" si="70"/>
        <v>0</v>
      </c>
      <c r="G259" s="35">
        <f t="shared" si="71"/>
        <v>0.16</v>
      </c>
      <c r="H259" s="35">
        <f t="shared" si="72"/>
        <v>0.04</v>
      </c>
      <c r="I259" s="35">
        <f t="shared" si="73"/>
        <v>0</v>
      </c>
      <c r="J259" s="128">
        <v>0.61</v>
      </c>
      <c r="K259" s="128">
        <v>0.05</v>
      </c>
      <c r="L259" s="128">
        <v>0.02</v>
      </c>
      <c r="M259" s="114">
        <f t="shared" ref="M259:M322" si="74">SUM(D259:L259)</f>
        <v>1</v>
      </c>
      <c r="N259" s="35">
        <f t="shared" ref="N259:N322" si="75">SUM(J259:L259)/$M259*100</f>
        <v>68</v>
      </c>
      <c r="O259" s="35">
        <f t="shared" ref="O259:O322" si="76">SUM(G259:I259)/$M259*100</f>
        <v>20</v>
      </c>
      <c r="P259" s="35">
        <f t="shared" ref="P259:P322" si="77">SUM(D259:F259)/$M259*100</f>
        <v>12.000000000000002</v>
      </c>
      <c r="Q259" s="35">
        <f t="shared" ref="Q259:Q322" si="78">(K259+(2*L259))/SUM(J259:L259)</f>
        <v>0.13235294117647056</v>
      </c>
      <c r="R259" s="35">
        <f t="shared" ref="R259:R322" si="79">(H259+(2*I259))/SUM(G259:I259)</f>
        <v>0.19999999999999998</v>
      </c>
      <c r="S259" s="35">
        <f t="shared" ref="S259:S322" si="80">(Z259+(2*AB259))/SUM(X259,Z259,AB259)</f>
        <v>0.13333333333333333</v>
      </c>
      <c r="T259" s="35">
        <f t="shared" ref="T259:T322" si="81">(AA259+(2*AC259))/SUM(Y259,AA259,AC259)</f>
        <v>0.39999999999999997</v>
      </c>
      <c r="U259" s="35">
        <f t="shared" ref="U259:U322" si="82">SUM(Y259,AA259,AC259)/SUM(G259:I259)</f>
        <v>0.25</v>
      </c>
      <c r="V259" s="35">
        <f t="shared" ref="V259:V322" si="83">SUM(AE259,AG259,AI259)/SUM(D259:F259)</f>
        <v>0.41666666666666663</v>
      </c>
      <c r="W259" s="35"/>
      <c r="X259" s="128">
        <v>0.13</v>
      </c>
      <c r="Y259" s="128">
        <v>0.03</v>
      </c>
      <c r="Z259" s="128">
        <v>0.02</v>
      </c>
      <c r="AA259" s="128">
        <v>0.02</v>
      </c>
      <c r="AB259" s="128">
        <v>0</v>
      </c>
      <c r="AC259" s="128">
        <v>0</v>
      </c>
      <c r="AD259" s="128">
        <v>7.0000000000000007E-2</v>
      </c>
      <c r="AE259" s="128">
        <v>0.05</v>
      </c>
      <c r="AF259" s="128">
        <v>0</v>
      </c>
      <c r="AG259" s="128">
        <v>0</v>
      </c>
      <c r="AH259" s="128">
        <v>0</v>
      </c>
      <c r="AI259" s="128">
        <v>0</v>
      </c>
    </row>
    <row r="260" spans="1:35" x14ac:dyDescent="0.2">
      <c r="A260" s="110" t="s">
        <v>891</v>
      </c>
      <c r="B260" t="s">
        <v>902</v>
      </c>
      <c r="C260" t="s">
        <v>904</v>
      </c>
      <c r="D260" s="35">
        <f t="shared" si="68"/>
        <v>0.18</v>
      </c>
      <c r="E260" s="35">
        <f t="shared" si="69"/>
        <v>0</v>
      </c>
      <c r="F260" s="35">
        <f t="shared" si="70"/>
        <v>0</v>
      </c>
      <c r="G260" s="35">
        <f t="shared" si="71"/>
        <v>0.2</v>
      </c>
      <c r="H260" s="35">
        <f t="shared" si="72"/>
        <v>0.05</v>
      </c>
      <c r="I260" s="35">
        <f t="shared" si="73"/>
        <v>0.02</v>
      </c>
      <c r="J260" s="128">
        <v>0.49</v>
      </c>
      <c r="K260" s="128">
        <v>0.05</v>
      </c>
      <c r="L260" s="128">
        <v>0.03</v>
      </c>
      <c r="M260" s="114">
        <f t="shared" si="74"/>
        <v>1.02</v>
      </c>
      <c r="N260" s="35">
        <f t="shared" si="75"/>
        <v>55.882352941176471</v>
      </c>
      <c r="O260" s="35">
        <f t="shared" si="76"/>
        <v>26.47058823529412</v>
      </c>
      <c r="P260" s="35">
        <f t="shared" si="77"/>
        <v>17.647058823529409</v>
      </c>
      <c r="Q260" s="35">
        <f t="shared" si="78"/>
        <v>0.19298245614035087</v>
      </c>
      <c r="R260" s="35">
        <f t="shared" si="79"/>
        <v>0.33333333333333331</v>
      </c>
      <c r="S260" s="35">
        <f t="shared" si="80"/>
        <v>0.25</v>
      </c>
      <c r="T260" s="35">
        <f t="shared" si="81"/>
        <v>0.57142857142857151</v>
      </c>
      <c r="U260" s="35">
        <f t="shared" si="82"/>
        <v>0.25925925925925919</v>
      </c>
      <c r="V260" s="35">
        <f t="shared" si="83"/>
        <v>0.33333333333333331</v>
      </c>
      <c r="W260" s="35"/>
      <c r="X260" s="128">
        <v>0.16</v>
      </c>
      <c r="Y260" s="128">
        <v>0.04</v>
      </c>
      <c r="Z260" s="128">
        <v>0.03</v>
      </c>
      <c r="AA260" s="128">
        <v>0.02</v>
      </c>
      <c r="AB260" s="128">
        <v>0.01</v>
      </c>
      <c r="AC260" s="128">
        <v>0.01</v>
      </c>
      <c r="AD260" s="128">
        <v>0.12</v>
      </c>
      <c r="AE260" s="128">
        <v>0.06</v>
      </c>
      <c r="AF260" s="128">
        <v>0</v>
      </c>
      <c r="AG260" s="128">
        <v>0</v>
      </c>
      <c r="AH260" s="128">
        <v>0</v>
      </c>
      <c r="AI260" s="128">
        <v>0</v>
      </c>
    </row>
    <row r="261" spans="1:35" x14ac:dyDescent="0.2">
      <c r="A261" s="110" t="s">
        <v>891</v>
      </c>
      <c r="B261" t="s">
        <v>902</v>
      </c>
      <c r="C261" t="s">
        <v>904</v>
      </c>
      <c r="D261" s="35">
        <f t="shared" si="68"/>
        <v>0.12000000000000001</v>
      </c>
      <c r="E261" s="35">
        <f t="shared" si="69"/>
        <v>0</v>
      </c>
      <c r="F261" s="35">
        <f t="shared" si="70"/>
        <v>0</v>
      </c>
      <c r="G261" s="35">
        <f t="shared" si="71"/>
        <v>0.18</v>
      </c>
      <c r="H261" s="35">
        <f t="shared" si="72"/>
        <v>0.03</v>
      </c>
      <c r="I261" s="35">
        <f t="shared" si="73"/>
        <v>0</v>
      </c>
      <c r="J261" s="128">
        <v>0.56999999999999995</v>
      </c>
      <c r="K261" s="128">
        <v>0.06</v>
      </c>
      <c r="L261" s="128">
        <v>0.03</v>
      </c>
      <c r="M261" s="114">
        <f t="shared" si="74"/>
        <v>0.99</v>
      </c>
      <c r="N261" s="35">
        <f t="shared" si="75"/>
        <v>66.666666666666657</v>
      </c>
      <c r="O261" s="35">
        <f t="shared" si="76"/>
        <v>21.212121212121211</v>
      </c>
      <c r="P261" s="35">
        <f t="shared" si="77"/>
        <v>12.121212121212123</v>
      </c>
      <c r="Q261" s="35">
        <f t="shared" si="78"/>
        <v>0.18181818181818182</v>
      </c>
      <c r="R261" s="35">
        <f t="shared" si="79"/>
        <v>0.14285714285714285</v>
      </c>
      <c r="S261" s="35">
        <f t="shared" si="80"/>
        <v>0.11764705882352942</v>
      </c>
      <c r="T261" s="35">
        <f t="shared" si="81"/>
        <v>0.25</v>
      </c>
      <c r="U261" s="35">
        <f t="shared" si="82"/>
        <v>0.19047619047619049</v>
      </c>
      <c r="V261" s="35">
        <f t="shared" si="83"/>
        <v>0.41666666666666663</v>
      </c>
      <c r="W261" s="35"/>
      <c r="X261" s="128">
        <v>0.15</v>
      </c>
      <c r="Y261" s="128">
        <v>0.03</v>
      </c>
      <c r="Z261" s="128">
        <v>0.02</v>
      </c>
      <c r="AA261" s="128">
        <v>0.01</v>
      </c>
      <c r="AB261" s="128">
        <v>0</v>
      </c>
      <c r="AC261" s="128">
        <v>0</v>
      </c>
      <c r="AD261" s="128">
        <v>7.0000000000000007E-2</v>
      </c>
      <c r="AE261" s="128">
        <v>0.05</v>
      </c>
      <c r="AF261" s="128">
        <v>0</v>
      </c>
      <c r="AG261" s="128">
        <v>0</v>
      </c>
      <c r="AH261" s="128">
        <v>0</v>
      </c>
      <c r="AI261" s="128">
        <v>0</v>
      </c>
    </row>
    <row r="262" spans="1:35" x14ac:dyDescent="0.2">
      <c r="A262" s="110" t="s">
        <v>891</v>
      </c>
      <c r="B262" t="s">
        <v>902</v>
      </c>
      <c r="C262" t="s">
        <v>904</v>
      </c>
      <c r="D262" s="35">
        <f t="shared" si="68"/>
        <v>0.13</v>
      </c>
      <c r="E262" s="35">
        <f t="shared" si="69"/>
        <v>0</v>
      </c>
      <c r="F262" s="35">
        <f t="shared" si="70"/>
        <v>0</v>
      </c>
      <c r="G262" s="35">
        <f t="shared" si="71"/>
        <v>0.17</v>
      </c>
      <c r="H262" s="35">
        <f t="shared" si="72"/>
        <v>0.03</v>
      </c>
      <c r="I262" s="35">
        <f t="shared" si="73"/>
        <v>0.01</v>
      </c>
      <c r="J262" s="128">
        <v>0.56999999999999995</v>
      </c>
      <c r="K262" s="128">
        <v>0.06</v>
      </c>
      <c r="L262" s="128">
        <v>0.03</v>
      </c>
      <c r="M262" s="114">
        <f t="shared" si="74"/>
        <v>1</v>
      </c>
      <c r="N262" s="35">
        <f t="shared" si="75"/>
        <v>65.999999999999986</v>
      </c>
      <c r="O262" s="35">
        <f t="shared" si="76"/>
        <v>21.000000000000004</v>
      </c>
      <c r="P262" s="35">
        <f t="shared" si="77"/>
        <v>13</v>
      </c>
      <c r="Q262" s="35">
        <f t="shared" si="78"/>
        <v>0.18181818181818182</v>
      </c>
      <c r="R262" s="35">
        <f t="shared" si="79"/>
        <v>0.23809523809523808</v>
      </c>
      <c r="S262" s="35">
        <f t="shared" si="80"/>
        <v>0.23529411764705882</v>
      </c>
      <c r="T262" s="35">
        <f t="shared" si="81"/>
        <v>0.25</v>
      </c>
      <c r="U262" s="35">
        <f t="shared" si="82"/>
        <v>0.19047619047619047</v>
      </c>
      <c r="V262" s="35">
        <f t="shared" si="83"/>
        <v>0.38461538461538464</v>
      </c>
      <c r="W262" s="35"/>
      <c r="X262" s="128">
        <v>0.14000000000000001</v>
      </c>
      <c r="Y262" s="128">
        <v>0.03</v>
      </c>
      <c r="Z262" s="128">
        <v>0.02</v>
      </c>
      <c r="AA262" s="128">
        <v>0.01</v>
      </c>
      <c r="AB262" s="128">
        <v>0.01</v>
      </c>
      <c r="AC262" s="128">
        <v>0</v>
      </c>
      <c r="AD262" s="128">
        <v>0.08</v>
      </c>
      <c r="AE262" s="128">
        <v>0.05</v>
      </c>
      <c r="AF262" s="128">
        <v>0</v>
      </c>
      <c r="AG262" s="128">
        <v>0</v>
      </c>
      <c r="AH262" s="128">
        <v>0</v>
      </c>
      <c r="AI262" s="128">
        <v>0</v>
      </c>
    </row>
    <row r="263" spans="1:35" x14ac:dyDescent="0.2">
      <c r="A263" s="110" t="s">
        <v>891</v>
      </c>
      <c r="B263" t="s">
        <v>902</v>
      </c>
      <c r="C263" t="s">
        <v>904</v>
      </c>
      <c r="D263" s="35">
        <f t="shared" si="68"/>
        <v>0.13</v>
      </c>
      <c r="E263" s="35">
        <f t="shared" si="69"/>
        <v>0</v>
      </c>
      <c r="F263" s="35">
        <f t="shared" si="70"/>
        <v>0</v>
      </c>
      <c r="G263" s="35">
        <f t="shared" si="71"/>
        <v>0.18</v>
      </c>
      <c r="H263" s="35">
        <f t="shared" si="72"/>
        <v>0.03</v>
      </c>
      <c r="I263" s="35">
        <f t="shared" si="73"/>
        <v>0.01</v>
      </c>
      <c r="J263" s="128">
        <v>0.56000000000000005</v>
      </c>
      <c r="K263" s="128">
        <v>0.05</v>
      </c>
      <c r="L263" s="128">
        <v>0.03</v>
      </c>
      <c r="M263" s="114">
        <f t="shared" si="74"/>
        <v>0.9900000000000001</v>
      </c>
      <c r="N263" s="35">
        <f t="shared" si="75"/>
        <v>64.646464646464651</v>
      </c>
      <c r="O263" s="35">
        <f t="shared" si="76"/>
        <v>22.222222222222221</v>
      </c>
      <c r="P263" s="35">
        <f t="shared" si="77"/>
        <v>13.13131313131313</v>
      </c>
      <c r="Q263" s="35">
        <f t="shared" si="78"/>
        <v>0.17187499999999997</v>
      </c>
      <c r="R263" s="35">
        <f t="shared" si="79"/>
        <v>0.22727272727272729</v>
      </c>
      <c r="S263" s="35">
        <f t="shared" si="80"/>
        <v>0.22222222222222224</v>
      </c>
      <c r="T263" s="35">
        <f t="shared" si="81"/>
        <v>0.25</v>
      </c>
      <c r="U263" s="35">
        <f t="shared" si="82"/>
        <v>0.18181818181818182</v>
      </c>
      <c r="V263" s="35">
        <f t="shared" si="83"/>
        <v>0.38461538461538464</v>
      </c>
      <c r="W263" s="35"/>
      <c r="X263" s="128">
        <v>0.15</v>
      </c>
      <c r="Y263" s="128">
        <v>0.03</v>
      </c>
      <c r="Z263" s="128">
        <v>0.02</v>
      </c>
      <c r="AA263" s="128">
        <v>0.01</v>
      </c>
      <c r="AB263" s="128">
        <v>0.01</v>
      </c>
      <c r="AC263" s="128">
        <v>0</v>
      </c>
      <c r="AD263" s="128">
        <v>0.08</v>
      </c>
      <c r="AE263" s="128">
        <v>0.05</v>
      </c>
      <c r="AF263" s="128">
        <v>0</v>
      </c>
      <c r="AG263" s="128">
        <v>0</v>
      </c>
      <c r="AH263" s="128">
        <v>0</v>
      </c>
      <c r="AI263" s="128">
        <v>0</v>
      </c>
    </row>
    <row r="264" spans="1:35" x14ac:dyDescent="0.2">
      <c r="A264" s="110" t="s">
        <v>891</v>
      </c>
      <c r="B264" t="s">
        <v>902</v>
      </c>
      <c r="C264" t="s">
        <v>904</v>
      </c>
      <c r="D264" s="35">
        <f t="shared" si="68"/>
        <v>0.14000000000000001</v>
      </c>
      <c r="E264" s="35">
        <f t="shared" si="69"/>
        <v>0</v>
      </c>
      <c r="F264" s="35">
        <f t="shared" si="70"/>
        <v>0</v>
      </c>
      <c r="G264" s="35">
        <f t="shared" si="71"/>
        <v>0.17</v>
      </c>
      <c r="H264" s="35">
        <f t="shared" si="72"/>
        <v>0.04</v>
      </c>
      <c r="I264" s="35">
        <f t="shared" si="73"/>
        <v>0</v>
      </c>
      <c r="J264" s="128">
        <v>0.54</v>
      </c>
      <c r="K264" s="128">
        <v>0.06</v>
      </c>
      <c r="L264" s="128">
        <v>0.03</v>
      </c>
      <c r="M264" s="114">
        <f t="shared" si="74"/>
        <v>0.9800000000000002</v>
      </c>
      <c r="N264" s="35">
        <f t="shared" si="75"/>
        <v>64.285714285714278</v>
      </c>
      <c r="O264" s="35">
        <f t="shared" si="76"/>
        <v>21.428571428571427</v>
      </c>
      <c r="P264" s="35">
        <f t="shared" si="77"/>
        <v>14.285714285714285</v>
      </c>
      <c r="Q264" s="35">
        <f t="shared" si="78"/>
        <v>0.19047619047619044</v>
      </c>
      <c r="R264" s="35">
        <f t="shared" si="79"/>
        <v>0.19047619047619047</v>
      </c>
      <c r="S264" s="35">
        <f t="shared" si="80"/>
        <v>0.1764705882352941</v>
      </c>
      <c r="T264" s="35">
        <f t="shared" si="81"/>
        <v>0.25</v>
      </c>
      <c r="U264" s="35">
        <f t="shared" si="82"/>
        <v>0.19047619047619047</v>
      </c>
      <c r="V264" s="35">
        <f t="shared" si="83"/>
        <v>0.42857142857142849</v>
      </c>
      <c r="W264" s="35"/>
      <c r="X264" s="128">
        <v>0.14000000000000001</v>
      </c>
      <c r="Y264" s="128">
        <v>0.03</v>
      </c>
      <c r="Z264" s="128">
        <v>0.03</v>
      </c>
      <c r="AA264" s="128">
        <v>0.01</v>
      </c>
      <c r="AB264" s="128">
        <v>0</v>
      </c>
      <c r="AC264" s="128">
        <v>0</v>
      </c>
      <c r="AD264" s="128">
        <v>0.08</v>
      </c>
      <c r="AE264" s="128">
        <v>0.06</v>
      </c>
      <c r="AF264" s="128">
        <v>0</v>
      </c>
      <c r="AG264" s="128">
        <v>0</v>
      </c>
      <c r="AH264" s="128">
        <v>0</v>
      </c>
      <c r="AI264" s="128">
        <v>0</v>
      </c>
    </row>
    <row r="265" spans="1:35" x14ac:dyDescent="0.2">
      <c r="A265" s="110" t="s">
        <v>891</v>
      </c>
      <c r="B265" t="s">
        <v>902</v>
      </c>
      <c r="C265" t="s">
        <v>904</v>
      </c>
      <c r="D265" s="35">
        <f t="shared" si="68"/>
        <v>0.08</v>
      </c>
      <c r="E265" s="35">
        <f t="shared" si="69"/>
        <v>0.02</v>
      </c>
      <c r="F265" s="35">
        <f t="shared" si="70"/>
        <v>0</v>
      </c>
      <c r="G265" s="35">
        <f t="shared" si="71"/>
        <v>0.17</v>
      </c>
      <c r="H265" s="35">
        <f t="shared" si="72"/>
        <v>0.02</v>
      </c>
      <c r="I265" s="35">
        <f t="shared" si="73"/>
        <v>0</v>
      </c>
      <c r="J265" s="128">
        <v>0.63</v>
      </c>
      <c r="K265" s="128">
        <v>0.05</v>
      </c>
      <c r="L265" s="128">
        <v>0.03</v>
      </c>
      <c r="M265" s="114">
        <f t="shared" si="74"/>
        <v>1</v>
      </c>
      <c r="N265" s="35">
        <f t="shared" si="75"/>
        <v>71.000000000000014</v>
      </c>
      <c r="O265" s="35">
        <f t="shared" si="76"/>
        <v>19</v>
      </c>
      <c r="P265" s="35">
        <f t="shared" si="77"/>
        <v>10</v>
      </c>
      <c r="Q265" s="35">
        <f t="shared" si="78"/>
        <v>0.15492957746478872</v>
      </c>
      <c r="R265" s="35">
        <f t="shared" si="79"/>
        <v>0.10526315789473684</v>
      </c>
      <c r="S265" s="35">
        <f t="shared" si="80"/>
        <v>6.6666666666666652E-2</v>
      </c>
      <c r="T265" s="35">
        <f t="shared" si="81"/>
        <v>0.25</v>
      </c>
      <c r="U265" s="35">
        <f t="shared" si="82"/>
        <v>0.21052631578947367</v>
      </c>
      <c r="V265" s="35">
        <f t="shared" si="83"/>
        <v>0.5</v>
      </c>
      <c r="W265" s="35"/>
      <c r="X265" s="128">
        <v>0.14000000000000001</v>
      </c>
      <c r="Y265" s="128">
        <v>0.03</v>
      </c>
      <c r="Z265" s="128">
        <v>0.01</v>
      </c>
      <c r="AA265" s="128">
        <v>0.01</v>
      </c>
      <c r="AB265" s="128">
        <v>0</v>
      </c>
      <c r="AC265" s="128">
        <v>0</v>
      </c>
      <c r="AD265" s="128">
        <v>0.04</v>
      </c>
      <c r="AE265" s="128">
        <v>0.04</v>
      </c>
      <c r="AF265" s="128">
        <v>0.01</v>
      </c>
      <c r="AG265" s="128">
        <v>0.01</v>
      </c>
      <c r="AH265" s="128">
        <v>0</v>
      </c>
      <c r="AI265" s="128">
        <v>0</v>
      </c>
    </row>
    <row r="266" spans="1:35" x14ac:dyDescent="0.2">
      <c r="A266" s="110" t="s">
        <v>891</v>
      </c>
      <c r="B266" t="s">
        <v>902</v>
      </c>
      <c r="C266" t="s">
        <v>904</v>
      </c>
      <c r="D266" s="35">
        <f t="shared" si="68"/>
        <v>0.1</v>
      </c>
      <c r="E266" s="35">
        <f t="shared" si="69"/>
        <v>0</v>
      </c>
      <c r="F266" s="35">
        <f t="shared" si="70"/>
        <v>0</v>
      </c>
      <c r="G266" s="35">
        <f t="shared" si="71"/>
        <v>0.17</v>
      </c>
      <c r="H266" s="35">
        <f t="shared" si="72"/>
        <v>0.05</v>
      </c>
      <c r="I266" s="35">
        <f t="shared" si="73"/>
        <v>0</v>
      </c>
      <c r="J266" s="128">
        <v>0.59</v>
      </c>
      <c r="K266" s="128">
        <v>0.06</v>
      </c>
      <c r="L266" s="128">
        <v>0.03</v>
      </c>
      <c r="M266" s="114">
        <f t="shared" si="74"/>
        <v>1</v>
      </c>
      <c r="N266" s="35">
        <f t="shared" si="75"/>
        <v>68</v>
      </c>
      <c r="O266" s="35">
        <f t="shared" si="76"/>
        <v>22.000000000000004</v>
      </c>
      <c r="P266" s="35">
        <f t="shared" si="77"/>
        <v>10</v>
      </c>
      <c r="Q266" s="35">
        <f t="shared" si="78"/>
        <v>0.17647058823529413</v>
      </c>
      <c r="R266" s="35">
        <f t="shared" si="79"/>
        <v>0.22727272727272727</v>
      </c>
      <c r="S266" s="35">
        <f t="shared" si="80"/>
        <v>0.1764705882352941</v>
      </c>
      <c r="T266" s="35">
        <f t="shared" si="81"/>
        <v>0.39999999999999997</v>
      </c>
      <c r="U266" s="35">
        <f t="shared" si="82"/>
        <v>0.22727272727272727</v>
      </c>
      <c r="V266" s="35">
        <f t="shared" si="83"/>
        <v>0.39999999999999997</v>
      </c>
      <c r="W266" s="35"/>
      <c r="X266" s="128">
        <v>0.14000000000000001</v>
      </c>
      <c r="Y266" s="128">
        <v>0.03</v>
      </c>
      <c r="Z266" s="128">
        <v>0.03</v>
      </c>
      <c r="AA266" s="128">
        <v>0.02</v>
      </c>
      <c r="AB266" s="128">
        <v>0</v>
      </c>
      <c r="AC266" s="128">
        <v>0</v>
      </c>
      <c r="AD266" s="128">
        <v>0.06</v>
      </c>
      <c r="AE266" s="128">
        <v>0.04</v>
      </c>
      <c r="AF266" s="128">
        <v>0</v>
      </c>
      <c r="AG266" s="128">
        <v>0</v>
      </c>
      <c r="AH266" s="128">
        <v>0</v>
      </c>
      <c r="AI266" s="128">
        <v>0</v>
      </c>
    </row>
    <row r="267" spans="1:35" x14ac:dyDescent="0.2">
      <c r="A267" s="110" t="s">
        <v>891</v>
      </c>
      <c r="B267" t="s">
        <v>902</v>
      </c>
      <c r="C267" t="s">
        <v>904</v>
      </c>
      <c r="D267" s="35">
        <f t="shared" si="68"/>
        <v>0.1</v>
      </c>
      <c r="E267" s="35">
        <f t="shared" si="69"/>
        <v>0</v>
      </c>
      <c r="F267" s="35">
        <f t="shared" si="70"/>
        <v>0</v>
      </c>
      <c r="G267" s="35">
        <f t="shared" si="71"/>
        <v>0.16999999999999998</v>
      </c>
      <c r="H267" s="35">
        <f t="shared" si="72"/>
        <v>0.03</v>
      </c>
      <c r="I267" s="35">
        <f t="shared" si="73"/>
        <v>0.01</v>
      </c>
      <c r="J267" s="128">
        <v>0.56999999999999995</v>
      </c>
      <c r="K267" s="128">
        <v>0.06</v>
      </c>
      <c r="L267" s="128">
        <v>0.03</v>
      </c>
      <c r="M267" s="114">
        <f t="shared" si="74"/>
        <v>0.97</v>
      </c>
      <c r="N267" s="35">
        <f t="shared" si="75"/>
        <v>68.041237113402047</v>
      </c>
      <c r="O267" s="35">
        <f t="shared" si="76"/>
        <v>21.649484536082475</v>
      </c>
      <c r="P267" s="35">
        <f t="shared" si="77"/>
        <v>10.309278350515465</v>
      </c>
      <c r="Q267" s="35">
        <f t="shared" si="78"/>
        <v>0.18181818181818182</v>
      </c>
      <c r="R267" s="35">
        <f t="shared" si="79"/>
        <v>0.23809523809523811</v>
      </c>
      <c r="S267" s="35">
        <f t="shared" si="80"/>
        <v>0.22222222222222224</v>
      </c>
      <c r="T267" s="35">
        <f t="shared" si="81"/>
        <v>0.33333333333333337</v>
      </c>
      <c r="U267" s="35">
        <f t="shared" si="82"/>
        <v>0.14285714285714285</v>
      </c>
      <c r="V267" s="35">
        <f t="shared" si="83"/>
        <v>0.5</v>
      </c>
      <c r="W267" s="35"/>
      <c r="X267" s="128">
        <v>0.15</v>
      </c>
      <c r="Y267" s="128">
        <v>0.02</v>
      </c>
      <c r="Z267" s="128">
        <v>0.02</v>
      </c>
      <c r="AA267" s="128">
        <v>0.01</v>
      </c>
      <c r="AB267" s="128">
        <v>0.01</v>
      </c>
      <c r="AC267" s="128">
        <v>0</v>
      </c>
      <c r="AD267" s="128">
        <v>0.05</v>
      </c>
      <c r="AE267" s="128">
        <v>0.05</v>
      </c>
      <c r="AF267" s="128">
        <v>0</v>
      </c>
      <c r="AG267" s="128">
        <v>0</v>
      </c>
      <c r="AH267" s="128">
        <v>0</v>
      </c>
      <c r="AI267" s="128">
        <v>0</v>
      </c>
    </row>
    <row r="268" spans="1:35" x14ac:dyDescent="0.2">
      <c r="A268" s="110" t="s">
        <v>891</v>
      </c>
      <c r="B268" t="s">
        <v>902</v>
      </c>
      <c r="C268" t="s">
        <v>904</v>
      </c>
      <c r="D268" s="35">
        <f t="shared" si="68"/>
        <v>0.14000000000000001</v>
      </c>
      <c r="E268" s="35">
        <f t="shared" si="69"/>
        <v>0.01</v>
      </c>
      <c r="F268" s="35">
        <f t="shared" si="70"/>
        <v>0</v>
      </c>
      <c r="G268" s="35">
        <f t="shared" si="71"/>
        <v>0.19</v>
      </c>
      <c r="H268" s="35">
        <f t="shared" si="72"/>
        <v>0.05</v>
      </c>
      <c r="I268" s="35">
        <f t="shared" si="73"/>
        <v>0.02</v>
      </c>
      <c r="J268" s="128">
        <v>0.51</v>
      </c>
      <c r="K268" s="128">
        <v>0.05</v>
      </c>
      <c r="L268" s="128">
        <v>0.03</v>
      </c>
      <c r="M268" s="114">
        <f t="shared" si="74"/>
        <v>1</v>
      </c>
      <c r="N268" s="35">
        <f t="shared" si="75"/>
        <v>59.000000000000007</v>
      </c>
      <c r="O268" s="35">
        <f t="shared" si="76"/>
        <v>26</v>
      </c>
      <c r="P268" s="35">
        <f t="shared" si="77"/>
        <v>15.000000000000002</v>
      </c>
      <c r="Q268" s="35">
        <f t="shared" si="78"/>
        <v>0.18644067796610167</v>
      </c>
      <c r="R268" s="35">
        <f t="shared" si="79"/>
        <v>0.34615384615384615</v>
      </c>
      <c r="S268" s="35">
        <f t="shared" si="80"/>
        <v>0.25</v>
      </c>
      <c r="T268" s="35">
        <f t="shared" si="81"/>
        <v>0.66666666666666663</v>
      </c>
      <c r="U268" s="35">
        <f t="shared" si="82"/>
        <v>0.23076923076923078</v>
      </c>
      <c r="V268" s="35">
        <f t="shared" si="83"/>
        <v>0.46666666666666656</v>
      </c>
      <c r="W268" s="35"/>
      <c r="X268" s="128">
        <v>0.16</v>
      </c>
      <c r="Y268" s="128">
        <v>0.03</v>
      </c>
      <c r="Z268" s="128">
        <v>0.03</v>
      </c>
      <c r="AA268" s="128">
        <v>0.02</v>
      </c>
      <c r="AB268" s="128">
        <v>0.01</v>
      </c>
      <c r="AC268" s="128">
        <v>0.01</v>
      </c>
      <c r="AD268" s="128">
        <v>0.08</v>
      </c>
      <c r="AE268" s="128">
        <v>0.06</v>
      </c>
      <c r="AF268" s="128">
        <v>0</v>
      </c>
      <c r="AG268" s="128">
        <v>0.01</v>
      </c>
      <c r="AH268" s="128">
        <v>0</v>
      </c>
      <c r="AI268" s="128">
        <v>0</v>
      </c>
    </row>
    <row r="269" spans="1:35" x14ac:dyDescent="0.2">
      <c r="A269" s="110" t="s">
        <v>891</v>
      </c>
      <c r="B269" t="s">
        <v>902</v>
      </c>
      <c r="C269" t="s">
        <v>904</v>
      </c>
      <c r="D269" s="35">
        <f t="shared" si="68"/>
        <v>0.12000000000000001</v>
      </c>
      <c r="E269" s="35">
        <f t="shared" si="69"/>
        <v>0</v>
      </c>
      <c r="F269" s="35">
        <f t="shared" si="70"/>
        <v>0</v>
      </c>
      <c r="G269" s="35">
        <f t="shared" si="71"/>
        <v>0.19</v>
      </c>
      <c r="H269" s="35">
        <f t="shared" si="72"/>
        <v>0.04</v>
      </c>
      <c r="I269" s="35">
        <f t="shared" si="73"/>
        <v>0.01</v>
      </c>
      <c r="J269" s="128">
        <v>0.56999999999999995</v>
      </c>
      <c r="K269" s="128">
        <v>0.06</v>
      </c>
      <c r="L269" s="128">
        <v>0.03</v>
      </c>
      <c r="M269" s="114">
        <f t="shared" si="74"/>
        <v>1.02</v>
      </c>
      <c r="N269" s="35">
        <f t="shared" si="75"/>
        <v>64.705882352941174</v>
      </c>
      <c r="O269" s="35">
        <f t="shared" si="76"/>
        <v>23.529411764705884</v>
      </c>
      <c r="P269" s="35">
        <f t="shared" si="77"/>
        <v>11.764705882352942</v>
      </c>
      <c r="Q269" s="35">
        <f t="shared" si="78"/>
        <v>0.18181818181818182</v>
      </c>
      <c r="R269" s="35">
        <f t="shared" si="79"/>
        <v>0.24999999999999997</v>
      </c>
      <c r="S269" s="35">
        <f t="shared" si="80"/>
        <v>0.25</v>
      </c>
      <c r="T269" s="35">
        <f t="shared" si="81"/>
        <v>0.25</v>
      </c>
      <c r="U269" s="35">
        <f t="shared" si="82"/>
        <v>0.16666666666666666</v>
      </c>
      <c r="V269" s="35">
        <f t="shared" si="83"/>
        <v>0.41666666666666663</v>
      </c>
      <c r="W269" s="35"/>
      <c r="X269" s="128">
        <v>0.16</v>
      </c>
      <c r="Y269" s="128">
        <v>0.03</v>
      </c>
      <c r="Z269" s="128">
        <v>0.03</v>
      </c>
      <c r="AA269" s="128">
        <v>0.01</v>
      </c>
      <c r="AB269" s="128">
        <v>0.01</v>
      </c>
      <c r="AC269" s="128">
        <v>0</v>
      </c>
      <c r="AD269" s="128">
        <v>7.0000000000000007E-2</v>
      </c>
      <c r="AE269" s="128">
        <v>0.05</v>
      </c>
      <c r="AF269" s="128">
        <v>0</v>
      </c>
      <c r="AG269" s="128">
        <v>0</v>
      </c>
      <c r="AH269" s="128">
        <v>0</v>
      </c>
      <c r="AI269" s="128">
        <v>0</v>
      </c>
    </row>
    <row r="270" spans="1:35" x14ac:dyDescent="0.2">
      <c r="A270" s="110" t="s">
        <v>891</v>
      </c>
      <c r="B270" t="s">
        <v>902</v>
      </c>
      <c r="C270" t="s">
        <v>904</v>
      </c>
      <c r="D270" s="35">
        <f t="shared" si="68"/>
        <v>0.12000000000000001</v>
      </c>
      <c r="E270" s="35">
        <f t="shared" si="69"/>
        <v>0</v>
      </c>
      <c r="F270" s="35">
        <f t="shared" si="70"/>
        <v>0</v>
      </c>
      <c r="G270" s="35">
        <f t="shared" si="71"/>
        <v>0.19</v>
      </c>
      <c r="H270" s="35">
        <f t="shared" si="72"/>
        <v>0.02</v>
      </c>
      <c r="I270" s="35">
        <f t="shared" si="73"/>
        <v>0</v>
      </c>
      <c r="J270" s="128">
        <v>0.59</v>
      </c>
      <c r="K270" s="128">
        <v>0.06</v>
      </c>
      <c r="L270" s="128">
        <v>0.03</v>
      </c>
      <c r="M270" s="114">
        <f t="shared" si="74"/>
        <v>1.01</v>
      </c>
      <c r="N270" s="35">
        <f t="shared" si="75"/>
        <v>67.326732673267315</v>
      </c>
      <c r="O270" s="35">
        <f t="shared" si="76"/>
        <v>20.792079207920793</v>
      </c>
      <c r="P270" s="35">
        <f t="shared" si="77"/>
        <v>11.881188118811883</v>
      </c>
      <c r="Q270" s="35">
        <f t="shared" si="78"/>
        <v>0.17647058823529413</v>
      </c>
      <c r="R270" s="35">
        <f t="shared" si="79"/>
        <v>9.5238095238095247E-2</v>
      </c>
      <c r="S270" s="35">
        <f t="shared" si="80"/>
        <v>0.11111111111111112</v>
      </c>
      <c r="T270" s="35">
        <f t="shared" si="81"/>
        <v>0</v>
      </c>
      <c r="U270" s="35">
        <f t="shared" si="82"/>
        <v>0.14285714285714285</v>
      </c>
      <c r="V270" s="35">
        <f t="shared" si="83"/>
        <v>0.41666666666666663</v>
      </c>
      <c r="W270" s="35"/>
      <c r="X270" s="128">
        <v>0.16</v>
      </c>
      <c r="Y270" s="128">
        <v>0.03</v>
      </c>
      <c r="Z270" s="128">
        <v>0.02</v>
      </c>
      <c r="AA270" s="128">
        <v>0</v>
      </c>
      <c r="AB270" s="128">
        <v>0</v>
      </c>
      <c r="AC270" s="128">
        <v>0</v>
      </c>
      <c r="AD270" s="128">
        <v>7.0000000000000007E-2</v>
      </c>
      <c r="AE270" s="128">
        <v>0.05</v>
      </c>
      <c r="AF270" s="128">
        <v>0</v>
      </c>
      <c r="AG270" s="128">
        <v>0</v>
      </c>
      <c r="AH270" s="128">
        <v>0</v>
      </c>
      <c r="AI270" s="128">
        <v>0</v>
      </c>
    </row>
    <row r="271" spans="1:35" x14ac:dyDescent="0.2">
      <c r="A271" s="110" t="s">
        <v>891</v>
      </c>
      <c r="B271" t="s">
        <v>902</v>
      </c>
      <c r="C271" t="s">
        <v>904</v>
      </c>
      <c r="D271" s="35">
        <f t="shared" si="68"/>
        <v>0.16</v>
      </c>
      <c r="E271" s="35">
        <f t="shared" si="69"/>
        <v>0</v>
      </c>
      <c r="F271" s="35">
        <f t="shared" si="70"/>
        <v>0</v>
      </c>
      <c r="G271" s="35">
        <f t="shared" si="71"/>
        <v>0.2</v>
      </c>
      <c r="H271" s="35">
        <f t="shared" si="72"/>
        <v>0.03</v>
      </c>
      <c r="I271" s="35">
        <f t="shared" si="73"/>
        <v>0.01</v>
      </c>
      <c r="J271" s="128">
        <v>0.52</v>
      </c>
      <c r="K271" s="128">
        <v>0.05</v>
      </c>
      <c r="L271" s="128">
        <v>0.03</v>
      </c>
      <c r="M271" s="114">
        <f t="shared" si="74"/>
        <v>1</v>
      </c>
      <c r="N271" s="35">
        <f t="shared" si="75"/>
        <v>60.000000000000007</v>
      </c>
      <c r="O271" s="35">
        <f t="shared" si="76"/>
        <v>24.000000000000004</v>
      </c>
      <c r="P271" s="35">
        <f t="shared" si="77"/>
        <v>16</v>
      </c>
      <c r="Q271" s="35">
        <f t="shared" si="78"/>
        <v>0.18333333333333332</v>
      </c>
      <c r="R271" s="35">
        <f t="shared" si="79"/>
        <v>0.20833333333333331</v>
      </c>
      <c r="S271" s="35">
        <f t="shared" si="80"/>
        <v>0.19999999999999998</v>
      </c>
      <c r="T271" s="35">
        <f t="shared" si="81"/>
        <v>0.25</v>
      </c>
      <c r="U271" s="35">
        <f t="shared" si="82"/>
        <v>0.16666666666666666</v>
      </c>
      <c r="V271" s="35">
        <f t="shared" si="83"/>
        <v>0.3125</v>
      </c>
      <c r="W271" s="35"/>
      <c r="X271" s="128">
        <v>0.17</v>
      </c>
      <c r="Y271" s="128">
        <v>0.03</v>
      </c>
      <c r="Z271" s="128">
        <v>0.02</v>
      </c>
      <c r="AA271" s="128">
        <v>0.01</v>
      </c>
      <c r="AB271" s="128">
        <v>0.01</v>
      </c>
      <c r="AC271" s="128">
        <v>0</v>
      </c>
      <c r="AD271" s="128">
        <v>0.11</v>
      </c>
      <c r="AE271" s="128">
        <v>0.05</v>
      </c>
      <c r="AF271" s="128">
        <v>0</v>
      </c>
      <c r="AG271" s="128">
        <v>0</v>
      </c>
      <c r="AH271" s="128">
        <v>0</v>
      </c>
      <c r="AI271" s="128">
        <v>0</v>
      </c>
    </row>
    <row r="272" spans="1:35" x14ac:dyDescent="0.2">
      <c r="A272" s="110" t="s">
        <v>891</v>
      </c>
      <c r="B272" t="s">
        <v>902</v>
      </c>
      <c r="C272" t="s">
        <v>904</v>
      </c>
      <c r="D272" s="35">
        <f t="shared" si="68"/>
        <v>0.1</v>
      </c>
      <c r="E272" s="35">
        <f t="shared" si="69"/>
        <v>0</v>
      </c>
      <c r="F272" s="35">
        <f t="shared" si="70"/>
        <v>0</v>
      </c>
      <c r="G272" s="35">
        <f t="shared" si="71"/>
        <v>0.17</v>
      </c>
      <c r="H272" s="35">
        <f t="shared" si="72"/>
        <v>0.03</v>
      </c>
      <c r="I272" s="35">
        <f t="shared" si="73"/>
        <v>0</v>
      </c>
      <c r="J272" s="128">
        <v>0.63</v>
      </c>
      <c r="K272" s="128">
        <v>0.05</v>
      </c>
      <c r="L272" s="128">
        <v>0.02</v>
      </c>
      <c r="M272" s="114">
        <f t="shared" si="74"/>
        <v>1</v>
      </c>
      <c r="N272" s="35">
        <f t="shared" si="75"/>
        <v>70</v>
      </c>
      <c r="O272" s="35">
        <f t="shared" si="76"/>
        <v>20</v>
      </c>
      <c r="P272" s="35">
        <f t="shared" si="77"/>
        <v>10</v>
      </c>
      <c r="Q272" s="35">
        <f t="shared" si="78"/>
        <v>0.12857142857142856</v>
      </c>
      <c r="R272" s="35">
        <f t="shared" si="79"/>
        <v>0.15</v>
      </c>
      <c r="S272" s="35">
        <f t="shared" si="80"/>
        <v>0.125</v>
      </c>
      <c r="T272" s="35">
        <f t="shared" si="81"/>
        <v>0.25</v>
      </c>
      <c r="U272" s="35">
        <f t="shared" si="82"/>
        <v>0.19999999999999998</v>
      </c>
      <c r="V272" s="35">
        <f t="shared" si="83"/>
        <v>0.39999999999999997</v>
      </c>
      <c r="W272" s="35"/>
      <c r="X272" s="128">
        <v>0.14000000000000001</v>
      </c>
      <c r="Y272" s="128">
        <v>0.03</v>
      </c>
      <c r="Z272" s="128">
        <v>0.02</v>
      </c>
      <c r="AA272" s="128">
        <v>0.01</v>
      </c>
      <c r="AB272" s="128">
        <v>0</v>
      </c>
      <c r="AC272" s="128">
        <v>0</v>
      </c>
      <c r="AD272" s="128">
        <v>0.06</v>
      </c>
      <c r="AE272" s="128">
        <v>0.04</v>
      </c>
      <c r="AF272" s="128">
        <v>0</v>
      </c>
      <c r="AG272" s="128">
        <v>0</v>
      </c>
      <c r="AH272" s="128">
        <v>0</v>
      </c>
      <c r="AI272" s="128">
        <v>0</v>
      </c>
    </row>
    <row r="273" spans="1:35" x14ac:dyDescent="0.2">
      <c r="A273" s="110" t="s">
        <v>891</v>
      </c>
      <c r="B273" t="s">
        <v>902</v>
      </c>
      <c r="C273" t="s">
        <v>904</v>
      </c>
      <c r="D273" s="35">
        <f t="shared" si="68"/>
        <v>0.1</v>
      </c>
      <c r="E273" s="35">
        <f t="shared" si="69"/>
        <v>0</v>
      </c>
      <c r="F273" s="35">
        <f t="shared" si="70"/>
        <v>0</v>
      </c>
      <c r="G273" s="35">
        <f t="shared" si="71"/>
        <v>0.21000000000000002</v>
      </c>
      <c r="H273" s="35">
        <f t="shared" si="72"/>
        <v>0.02</v>
      </c>
      <c r="I273" s="35">
        <f t="shared" si="73"/>
        <v>0</v>
      </c>
      <c r="J273" s="128">
        <v>0.6</v>
      </c>
      <c r="K273" s="128">
        <v>0.05</v>
      </c>
      <c r="L273" s="128">
        <v>0.02</v>
      </c>
      <c r="M273" s="114">
        <f t="shared" si="74"/>
        <v>1</v>
      </c>
      <c r="N273" s="35">
        <f t="shared" si="75"/>
        <v>67</v>
      </c>
      <c r="O273" s="35">
        <f t="shared" si="76"/>
        <v>23</v>
      </c>
      <c r="P273" s="35">
        <f t="shared" si="77"/>
        <v>10</v>
      </c>
      <c r="Q273" s="35">
        <f t="shared" si="78"/>
        <v>0.13432835820895522</v>
      </c>
      <c r="R273" s="35">
        <f t="shared" si="79"/>
        <v>8.6956521739130432E-2</v>
      </c>
      <c r="S273" s="35">
        <f t="shared" si="80"/>
        <v>0.10526315789473684</v>
      </c>
      <c r="T273" s="35">
        <f t="shared" si="81"/>
        <v>0</v>
      </c>
      <c r="U273" s="35">
        <f t="shared" si="82"/>
        <v>0.17391304347826086</v>
      </c>
      <c r="V273" s="35">
        <f t="shared" si="83"/>
        <v>0.39999999999999997</v>
      </c>
      <c r="W273" s="35"/>
      <c r="X273" s="128">
        <v>0.17</v>
      </c>
      <c r="Y273" s="128">
        <v>0.04</v>
      </c>
      <c r="Z273" s="128">
        <v>0.02</v>
      </c>
      <c r="AA273" s="128">
        <v>0</v>
      </c>
      <c r="AB273" s="128">
        <v>0</v>
      </c>
      <c r="AC273" s="128">
        <v>0</v>
      </c>
      <c r="AD273" s="128">
        <v>0.06</v>
      </c>
      <c r="AE273" s="128">
        <v>0.04</v>
      </c>
      <c r="AF273" s="128">
        <v>0</v>
      </c>
      <c r="AG273" s="128">
        <v>0</v>
      </c>
      <c r="AH273" s="128">
        <v>0</v>
      </c>
      <c r="AI273" s="128">
        <v>0</v>
      </c>
    </row>
    <row r="274" spans="1:35" x14ac:dyDescent="0.2">
      <c r="A274" s="110" t="s">
        <v>891</v>
      </c>
      <c r="B274" t="s">
        <v>902</v>
      </c>
      <c r="C274" t="s">
        <v>904</v>
      </c>
      <c r="D274" s="35">
        <f t="shared" si="68"/>
        <v>0.09</v>
      </c>
      <c r="E274" s="35">
        <f t="shared" si="69"/>
        <v>0</v>
      </c>
      <c r="F274" s="35">
        <f t="shared" si="70"/>
        <v>0</v>
      </c>
      <c r="G274" s="35">
        <f t="shared" si="71"/>
        <v>0.16</v>
      </c>
      <c r="H274" s="35">
        <f t="shared" si="72"/>
        <v>0.03</v>
      </c>
      <c r="I274" s="35">
        <f t="shared" si="73"/>
        <v>0</v>
      </c>
      <c r="J274" s="128">
        <v>0.63</v>
      </c>
      <c r="K274" s="128">
        <v>0.05</v>
      </c>
      <c r="L274" s="128">
        <v>0.03</v>
      </c>
      <c r="M274" s="114">
        <f t="shared" si="74"/>
        <v>0.9900000000000001</v>
      </c>
      <c r="N274" s="35">
        <f t="shared" si="75"/>
        <v>71.717171717171709</v>
      </c>
      <c r="O274" s="35">
        <f t="shared" si="76"/>
        <v>19.19191919191919</v>
      </c>
      <c r="P274" s="35">
        <f t="shared" si="77"/>
        <v>9.0909090909090899</v>
      </c>
      <c r="Q274" s="35">
        <f t="shared" si="78"/>
        <v>0.15492957746478872</v>
      </c>
      <c r="R274" s="35">
        <f t="shared" si="79"/>
        <v>0.15789473684210525</v>
      </c>
      <c r="S274" s="35">
        <f t="shared" si="80"/>
        <v>0.13333333333333333</v>
      </c>
      <c r="T274" s="35">
        <f t="shared" si="81"/>
        <v>0.25</v>
      </c>
      <c r="U274" s="35">
        <f t="shared" si="82"/>
        <v>0.21052631578947367</v>
      </c>
      <c r="V274" s="35">
        <f t="shared" si="83"/>
        <v>0.44444444444444448</v>
      </c>
      <c r="W274" s="35"/>
      <c r="X274" s="128">
        <v>0.13</v>
      </c>
      <c r="Y274" s="128">
        <v>0.03</v>
      </c>
      <c r="Z274" s="128">
        <v>0.02</v>
      </c>
      <c r="AA274" s="128">
        <v>0.01</v>
      </c>
      <c r="AB274" s="128">
        <v>0</v>
      </c>
      <c r="AC274" s="128">
        <v>0</v>
      </c>
      <c r="AD274" s="128">
        <v>0.05</v>
      </c>
      <c r="AE274" s="128">
        <v>0.04</v>
      </c>
      <c r="AF274" s="128">
        <v>0</v>
      </c>
      <c r="AG274" s="128">
        <v>0</v>
      </c>
      <c r="AH274" s="128">
        <v>0</v>
      </c>
      <c r="AI274" s="128">
        <v>0</v>
      </c>
    </row>
    <row r="275" spans="1:35" x14ac:dyDescent="0.2">
      <c r="A275" s="110" t="s">
        <v>891</v>
      </c>
      <c r="B275" t="s">
        <v>902</v>
      </c>
      <c r="C275" t="s">
        <v>904</v>
      </c>
      <c r="D275" s="35">
        <f t="shared" si="68"/>
        <v>7.0000000000000007E-2</v>
      </c>
      <c r="E275" s="35">
        <f t="shared" si="69"/>
        <v>0</v>
      </c>
      <c r="F275" s="35">
        <f t="shared" si="70"/>
        <v>0</v>
      </c>
      <c r="G275" s="35">
        <f t="shared" si="71"/>
        <v>0.19</v>
      </c>
      <c r="H275" s="35">
        <f t="shared" si="72"/>
        <v>0.01</v>
      </c>
      <c r="I275" s="35">
        <f t="shared" si="73"/>
        <v>0</v>
      </c>
      <c r="J275" s="128">
        <v>0.66</v>
      </c>
      <c r="K275" s="128">
        <v>0.04</v>
      </c>
      <c r="L275" s="128">
        <v>0.02</v>
      </c>
      <c r="M275" s="114">
        <f t="shared" si="74"/>
        <v>0.9900000000000001</v>
      </c>
      <c r="N275" s="35">
        <f t="shared" si="75"/>
        <v>72.727272727272734</v>
      </c>
      <c r="O275" s="35">
        <f t="shared" si="76"/>
        <v>20.202020202020201</v>
      </c>
      <c r="P275" s="35">
        <f t="shared" si="77"/>
        <v>7.0707070707070701</v>
      </c>
      <c r="Q275" s="35">
        <f t="shared" si="78"/>
        <v>0.1111111111111111</v>
      </c>
      <c r="R275" s="35">
        <f t="shared" si="79"/>
        <v>4.9999999999999996E-2</v>
      </c>
      <c r="S275" s="35">
        <f t="shared" si="80"/>
        <v>5.5555555555555552E-2</v>
      </c>
      <c r="T275" s="35">
        <f t="shared" si="81"/>
        <v>0</v>
      </c>
      <c r="U275" s="35">
        <f t="shared" si="82"/>
        <v>9.9999999999999992E-2</v>
      </c>
      <c r="V275" s="35">
        <f t="shared" si="83"/>
        <v>0.42857142857142849</v>
      </c>
      <c r="W275" s="35"/>
      <c r="X275" s="128">
        <v>0.17</v>
      </c>
      <c r="Y275" s="128">
        <v>0.02</v>
      </c>
      <c r="Z275" s="128">
        <v>0.01</v>
      </c>
      <c r="AA275" s="128">
        <v>0</v>
      </c>
      <c r="AB275" s="128">
        <v>0</v>
      </c>
      <c r="AC275" s="128">
        <v>0</v>
      </c>
      <c r="AD275" s="128">
        <v>0.04</v>
      </c>
      <c r="AE275" s="128">
        <v>0.03</v>
      </c>
      <c r="AF275" s="128">
        <v>0</v>
      </c>
      <c r="AG275" s="128">
        <v>0</v>
      </c>
      <c r="AH275" s="128">
        <v>0</v>
      </c>
      <c r="AI275" s="128">
        <v>0</v>
      </c>
    </row>
    <row r="276" spans="1:35" x14ac:dyDescent="0.2">
      <c r="A276" s="110" t="s">
        <v>891</v>
      </c>
      <c r="B276" t="s">
        <v>902</v>
      </c>
      <c r="C276" t="s">
        <v>904</v>
      </c>
      <c r="D276" s="35">
        <f t="shared" si="68"/>
        <v>0.11000000000000001</v>
      </c>
      <c r="E276" s="35">
        <f t="shared" si="69"/>
        <v>0</v>
      </c>
      <c r="F276" s="35">
        <f t="shared" si="70"/>
        <v>0</v>
      </c>
      <c r="G276" s="35">
        <f t="shared" si="71"/>
        <v>0.2</v>
      </c>
      <c r="H276" s="35">
        <f t="shared" si="72"/>
        <v>0.03</v>
      </c>
      <c r="I276" s="35">
        <f t="shared" si="73"/>
        <v>0</v>
      </c>
      <c r="J276" s="128">
        <v>0.59</v>
      </c>
      <c r="K276" s="128">
        <v>0.05</v>
      </c>
      <c r="L276" s="128">
        <v>0.02</v>
      </c>
      <c r="M276" s="114">
        <f t="shared" si="74"/>
        <v>1</v>
      </c>
      <c r="N276" s="35">
        <f t="shared" si="75"/>
        <v>66</v>
      </c>
      <c r="O276" s="35">
        <f t="shared" si="76"/>
        <v>23</v>
      </c>
      <c r="P276" s="35">
        <f t="shared" si="77"/>
        <v>11.000000000000002</v>
      </c>
      <c r="Q276" s="35">
        <f t="shared" si="78"/>
        <v>0.13636363636363635</v>
      </c>
      <c r="R276" s="35">
        <f t="shared" si="79"/>
        <v>0.13043478260869565</v>
      </c>
      <c r="S276" s="35">
        <f t="shared" si="80"/>
        <v>0.11111111111111112</v>
      </c>
      <c r="T276" s="35">
        <f t="shared" si="81"/>
        <v>0.19999999999999998</v>
      </c>
      <c r="U276" s="35">
        <f t="shared" si="82"/>
        <v>0.21739130434782608</v>
      </c>
      <c r="V276" s="35">
        <f t="shared" si="83"/>
        <v>0.36363636363636359</v>
      </c>
      <c r="W276" s="35"/>
      <c r="X276" s="128">
        <v>0.16</v>
      </c>
      <c r="Y276" s="128">
        <v>0.04</v>
      </c>
      <c r="Z276" s="128">
        <v>0.02</v>
      </c>
      <c r="AA276" s="128">
        <v>0.01</v>
      </c>
      <c r="AB276" s="128">
        <v>0</v>
      </c>
      <c r="AC276" s="128">
        <v>0</v>
      </c>
      <c r="AD276" s="128">
        <v>7.0000000000000007E-2</v>
      </c>
      <c r="AE276" s="128">
        <v>0.04</v>
      </c>
      <c r="AF276" s="128">
        <v>0</v>
      </c>
      <c r="AG276" s="128">
        <v>0</v>
      </c>
      <c r="AH276" s="128">
        <v>0</v>
      </c>
      <c r="AI276" s="128">
        <v>0</v>
      </c>
    </row>
    <row r="277" spans="1:35" x14ac:dyDescent="0.2">
      <c r="A277" s="110" t="s">
        <v>891</v>
      </c>
      <c r="B277" t="s">
        <v>902</v>
      </c>
      <c r="C277" t="s">
        <v>904</v>
      </c>
      <c r="D277" s="35">
        <f t="shared" si="68"/>
        <v>0.1</v>
      </c>
      <c r="E277" s="35">
        <f t="shared" si="69"/>
        <v>0</v>
      </c>
      <c r="F277" s="35">
        <f t="shared" si="70"/>
        <v>0</v>
      </c>
      <c r="G277" s="35">
        <f t="shared" si="71"/>
        <v>0.18</v>
      </c>
      <c r="H277" s="35">
        <f t="shared" si="72"/>
        <v>0.03</v>
      </c>
      <c r="I277" s="35">
        <f t="shared" si="73"/>
        <v>0.01</v>
      </c>
      <c r="J277" s="128">
        <v>0.59</v>
      </c>
      <c r="K277" s="128">
        <v>0.06</v>
      </c>
      <c r="L277" s="128">
        <v>0.03</v>
      </c>
      <c r="M277" s="114">
        <f t="shared" si="74"/>
        <v>1</v>
      </c>
      <c r="N277" s="35">
        <f t="shared" si="75"/>
        <v>68</v>
      </c>
      <c r="O277" s="35">
        <f t="shared" si="76"/>
        <v>22</v>
      </c>
      <c r="P277" s="35">
        <f t="shared" si="77"/>
        <v>10</v>
      </c>
      <c r="Q277" s="35">
        <f t="shared" si="78"/>
        <v>0.17647058823529413</v>
      </c>
      <c r="R277" s="35">
        <f t="shared" si="79"/>
        <v>0.22727272727272729</v>
      </c>
      <c r="S277" s="35">
        <f t="shared" si="80"/>
        <v>0.22222222222222224</v>
      </c>
      <c r="T277" s="35">
        <f t="shared" si="81"/>
        <v>0.25</v>
      </c>
      <c r="U277" s="35">
        <f t="shared" si="82"/>
        <v>0.18181818181818182</v>
      </c>
      <c r="V277" s="35">
        <f t="shared" si="83"/>
        <v>0.39999999999999997</v>
      </c>
      <c r="W277" s="35"/>
      <c r="X277" s="128">
        <v>0.15</v>
      </c>
      <c r="Y277" s="128">
        <v>0.03</v>
      </c>
      <c r="Z277" s="128">
        <v>0.02</v>
      </c>
      <c r="AA277" s="128">
        <v>0.01</v>
      </c>
      <c r="AB277" s="128">
        <v>0.01</v>
      </c>
      <c r="AC277" s="128">
        <v>0</v>
      </c>
      <c r="AD277" s="128">
        <v>0.06</v>
      </c>
      <c r="AE277" s="128">
        <v>0.04</v>
      </c>
      <c r="AF277" s="128">
        <v>0</v>
      </c>
      <c r="AG277" s="128">
        <v>0</v>
      </c>
      <c r="AH277" s="128">
        <v>0</v>
      </c>
      <c r="AI277" s="128">
        <v>0</v>
      </c>
    </row>
    <row r="278" spans="1:35" x14ac:dyDescent="0.2">
      <c r="A278" s="110" t="s">
        <v>891</v>
      </c>
      <c r="B278" t="s">
        <v>902</v>
      </c>
      <c r="C278" t="s">
        <v>904</v>
      </c>
      <c r="D278" s="35">
        <f t="shared" si="68"/>
        <v>0.12</v>
      </c>
      <c r="E278" s="35">
        <f t="shared" si="69"/>
        <v>0</v>
      </c>
      <c r="F278" s="35">
        <f t="shared" si="70"/>
        <v>0</v>
      </c>
      <c r="G278" s="35">
        <f t="shared" si="71"/>
        <v>0.16</v>
      </c>
      <c r="H278" s="35">
        <f t="shared" si="72"/>
        <v>0.03</v>
      </c>
      <c r="I278" s="35">
        <f t="shared" si="73"/>
        <v>0</v>
      </c>
      <c r="J278" s="128">
        <v>0.61</v>
      </c>
      <c r="K278" s="128">
        <v>0.05</v>
      </c>
      <c r="L278" s="128">
        <v>0.02</v>
      </c>
      <c r="M278" s="114">
        <f t="shared" si="74"/>
        <v>0.9900000000000001</v>
      </c>
      <c r="N278" s="35">
        <f t="shared" si="75"/>
        <v>68.686868686868678</v>
      </c>
      <c r="O278" s="35">
        <f t="shared" si="76"/>
        <v>19.19191919191919</v>
      </c>
      <c r="P278" s="35">
        <f t="shared" si="77"/>
        <v>12.121212121212119</v>
      </c>
      <c r="Q278" s="35">
        <f t="shared" si="78"/>
        <v>0.13235294117647056</v>
      </c>
      <c r="R278" s="35">
        <f t="shared" si="79"/>
        <v>0.15789473684210525</v>
      </c>
      <c r="S278" s="35">
        <f t="shared" si="80"/>
        <v>0.14285714285714288</v>
      </c>
      <c r="T278" s="35">
        <f t="shared" si="81"/>
        <v>0.19999999999999998</v>
      </c>
      <c r="U278" s="35">
        <f t="shared" si="82"/>
        <v>0.26315789473684209</v>
      </c>
      <c r="V278" s="35">
        <f t="shared" si="83"/>
        <v>0.33333333333333337</v>
      </c>
      <c r="W278" s="35"/>
      <c r="X278" s="128">
        <v>0.12</v>
      </c>
      <c r="Y278" s="128">
        <v>0.04</v>
      </c>
      <c r="Z278" s="128">
        <v>0.02</v>
      </c>
      <c r="AA278" s="128">
        <v>0.01</v>
      </c>
      <c r="AB278" s="128">
        <v>0</v>
      </c>
      <c r="AC278" s="128">
        <v>0</v>
      </c>
      <c r="AD278" s="128">
        <v>0.08</v>
      </c>
      <c r="AE278" s="128">
        <v>0.04</v>
      </c>
      <c r="AF278" s="128">
        <v>0</v>
      </c>
      <c r="AG278" s="128">
        <v>0</v>
      </c>
      <c r="AH278" s="128">
        <v>0</v>
      </c>
      <c r="AI278" s="128">
        <v>0</v>
      </c>
    </row>
    <row r="279" spans="1:35" x14ac:dyDescent="0.2">
      <c r="A279" s="110" t="s">
        <v>891</v>
      </c>
      <c r="B279" t="s">
        <v>902</v>
      </c>
      <c r="C279" t="s">
        <v>904</v>
      </c>
      <c r="D279" s="35">
        <f t="shared" si="68"/>
        <v>0.14000000000000001</v>
      </c>
      <c r="E279" s="35">
        <f t="shared" si="69"/>
        <v>0</v>
      </c>
      <c r="F279" s="35">
        <f t="shared" si="70"/>
        <v>0</v>
      </c>
      <c r="G279" s="35">
        <f t="shared" si="71"/>
        <v>0.18</v>
      </c>
      <c r="H279" s="35">
        <f t="shared" si="72"/>
        <v>0.03</v>
      </c>
      <c r="I279" s="35">
        <f t="shared" si="73"/>
        <v>0</v>
      </c>
      <c r="J279" s="128">
        <v>0.56999999999999995</v>
      </c>
      <c r="K279" s="128">
        <v>0.05</v>
      </c>
      <c r="L279" s="128">
        <v>0.03</v>
      </c>
      <c r="M279" s="114">
        <f t="shared" si="74"/>
        <v>1</v>
      </c>
      <c r="N279" s="35">
        <f t="shared" si="75"/>
        <v>65</v>
      </c>
      <c r="O279" s="35">
        <f t="shared" si="76"/>
        <v>21</v>
      </c>
      <c r="P279" s="35">
        <f t="shared" si="77"/>
        <v>14.000000000000002</v>
      </c>
      <c r="Q279" s="35">
        <f t="shared" si="78"/>
        <v>0.16923076923076921</v>
      </c>
      <c r="R279" s="35">
        <f t="shared" si="79"/>
        <v>0.14285714285714285</v>
      </c>
      <c r="S279" s="35">
        <f t="shared" si="80"/>
        <v>0.11764705882352942</v>
      </c>
      <c r="T279" s="35">
        <f t="shared" si="81"/>
        <v>0.25</v>
      </c>
      <c r="U279" s="35">
        <f t="shared" si="82"/>
        <v>0.19047619047619049</v>
      </c>
      <c r="V279" s="35">
        <f t="shared" si="83"/>
        <v>0.5</v>
      </c>
      <c r="W279" s="35"/>
      <c r="X279" s="128">
        <v>0.15</v>
      </c>
      <c r="Y279" s="128">
        <v>0.03</v>
      </c>
      <c r="Z279" s="128">
        <v>0.02</v>
      </c>
      <c r="AA279" s="128">
        <v>0.01</v>
      </c>
      <c r="AB279" s="128">
        <v>0</v>
      </c>
      <c r="AC279" s="128">
        <v>0</v>
      </c>
      <c r="AD279" s="128">
        <v>7.0000000000000007E-2</v>
      </c>
      <c r="AE279" s="128">
        <v>7.0000000000000007E-2</v>
      </c>
      <c r="AF279" s="128">
        <v>0</v>
      </c>
      <c r="AG279" s="128">
        <v>0</v>
      </c>
      <c r="AH279" s="128">
        <v>0</v>
      </c>
      <c r="AI279" s="128">
        <v>0</v>
      </c>
    </row>
    <row r="280" spans="1:35" x14ac:dyDescent="0.2">
      <c r="A280" s="110" t="s">
        <v>891</v>
      </c>
      <c r="B280" t="s">
        <v>902</v>
      </c>
      <c r="C280" t="s">
        <v>904</v>
      </c>
      <c r="D280" s="35">
        <f t="shared" si="68"/>
        <v>0.14000000000000001</v>
      </c>
      <c r="E280" s="35">
        <f t="shared" si="69"/>
        <v>0</v>
      </c>
      <c r="F280" s="35">
        <f t="shared" si="70"/>
        <v>0</v>
      </c>
      <c r="G280" s="35">
        <f t="shared" si="71"/>
        <v>0.24000000000000002</v>
      </c>
      <c r="H280" s="35">
        <f t="shared" si="72"/>
        <v>0</v>
      </c>
      <c r="I280" s="35">
        <f t="shared" si="73"/>
        <v>0</v>
      </c>
      <c r="J280" s="128">
        <v>0.63</v>
      </c>
      <c r="K280" s="128">
        <v>0</v>
      </c>
      <c r="L280" s="128">
        <v>0</v>
      </c>
      <c r="M280" s="114">
        <f t="shared" si="74"/>
        <v>1.01</v>
      </c>
      <c r="N280" s="35">
        <f t="shared" si="75"/>
        <v>62.376237623762378</v>
      </c>
      <c r="O280" s="35">
        <f t="shared" si="76"/>
        <v>23.762376237623766</v>
      </c>
      <c r="P280" s="35">
        <f t="shared" si="77"/>
        <v>13.861386138613863</v>
      </c>
      <c r="Q280" s="35">
        <f t="shared" si="78"/>
        <v>0</v>
      </c>
      <c r="R280" s="35">
        <f t="shared" si="79"/>
        <v>0</v>
      </c>
      <c r="S280" s="35">
        <f t="shared" si="80"/>
        <v>0</v>
      </c>
      <c r="T280" s="35">
        <f t="shared" si="81"/>
        <v>0</v>
      </c>
      <c r="U280" s="35">
        <f t="shared" si="82"/>
        <v>0.16666666666666666</v>
      </c>
      <c r="V280" s="35">
        <f t="shared" si="83"/>
        <v>0.5</v>
      </c>
      <c r="W280" s="35"/>
      <c r="X280" s="128">
        <v>0.2</v>
      </c>
      <c r="Y280" s="128">
        <v>0.04</v>
      </c>
      <c r="Z280" s="128">
        <v>0</v>
      </c>
      <c r="AA280" s="128">
        <v>0</v>
      </c>
      <c r="AB280" s="128">
        <v>0</v>
      </c>
      <c r="AC280" s="128">
        <v>0</v>
      </c>
      <c r="AD280" s="128">
        <v>7.0000000000000007E-2</v>
      </c>
      <c r="AE280" s="128">
        <v>7.0000000000000007E-2</v>
      </c>
      <c r="AF280" s="128">
        <v>0</v>
      </c>
      <c r="AG280" s="128">
        <v>0</v>
      </c>
      <c r="AH280" s="128">
        <v>0</v>
      </c>
      <c r="AI280" s="128">
        <v>0</v>
      </c>
    </row>
    <row r="281" spans="1:35" x14ac:dyDescent="0.2">
      <c r="A281" s="110" t="s">
        <v>891</v>
      </c>
      <c r="B281" t="s">
        <v>902</v>
      </c>
      <c r="C281" t="s">
        <v>904</v>
      </c>
      <c r="D281" s="35">
        <f t="shared" si="68"/>
        <v>0.06</v>
      </c>
      <c r="E281" s="35">
        <f t="shared" si="69"/>
        <v>0</v>
      </c>
      <c r="F281" s="35">
        <f t="shared" si="70"/>
        <v>0</v>
      </c>
      <c r="G281" s="35">
        <f t="shared" si="71"/>
        <v>0.15</v>
      </c>
      <c r="H281" s="35">
        <f t="shared" si="72"/>
        <v>0.02</v>
      </c>
      <c r="I281" s="35">
        <f t="shared" si="73"/>
        <v>0</v>
      </c>
      <c r="J281" s="128">
        <v>0.7</v>
      </c>
      <c r="K281" s="128">
        <v>0.05</v>
      </c>
      <c r="L281" s="128">
        <v>0.03</v>
      </c>
      <c r="M281" s="114">
        <f t="shared" si="74"/>
        <v>1.01</v>
      </c>
      <c r="N281" s="35">
        <f t="shared" si="75"/>
        <v>77.227722772277232</v>
      </c>
      <c r="O281" s="35">
        <f t="shared" si="76"/>
        <v>16.831683168316829</v>
      </c>
      <c r="P281" s="35">
        <f t="shared" si="77"/>
        <v>5.9405940594059405</v>
      </c>
      <c r="Q281" s="35">
        <f t="shared" si="78"/>
        <v>0.14102564102564102</v>
      </c>
      <c r="R281" s="35">
        <f t="shared" si="79"/>
        <v>0.11764705882352942</v>
      </c>
      <c r="S281" s="35">
        <f t="shared" si="80"/>
        <v>7.1428571428571425E-2</v>
      </c>
      <c r="T281" s="35">
        <f t="shared" si="81"/>
        <v>0.33333333333333337</v>
      </c>
      <c r="U281" s="35">
        <f t="shared" si="82"/>
        <v>0.17647058823529413</v>
      </c>
      <c r="V281" s="35">
        <f t="shared" si="83"/>
        <v>0.5</v>
      </c>
      <c r="W281" s="35"/>
      <c r="X281" s="128">
        <v>0.13</v>
      </c>
      <c r="Y281" s="128">
        <v>0.02</v>
      </c>
      <c r="Z281" s="128">
        <v>0.01</v>
      </c>
      <c r="AA281" s="128">
        <v>0.01</v>
      </c>
      <c r="AB281" s="128">
        <v>0</v>
      </c>
      <c r="AC281" s="128">
        <v>0</v>
      </c>
      <c r="AD281" s="128">
        <v>0.03</v>
      </c>
      <c r="AE281" s="128">
        <v>0.03</v>
      </c>
      <c r="AF281" s="128">
        <v>0</v>
      </c>
      <c r="AG281" s="128">
        <v>0</v>
      </c>
      <c r="AH281" s="128">
        <v>0</v>
      </c>
      <c r="AI281" s="128">
        <v>0</v>
      </c>
    </row>
    <row r="282" spans="1:35" x14ac:dyDescent="0.2">
      <c r="A282" s="110" t="s">
        <v>891</v>
      </c>
      <c r="B282" t="s">
        <v>902</v>
      </c>
      <c r="C282" t="s">
        <v>904</v>
      </c>
      <c r="D282" s="35">
        <f t="shared" si="68"/>
        <v>0.09</v>
      </c>
      <c r="E282" s="35">
        <f t="shared" si="69"/>
        <v>0</v>
      </c>
      <c r="F282" s="35">
        <f t="shared" si="70"/>
        <v>0</v>
      </c>
      <c r="G282" s="35">
        <f t="shared" si="71"/>
        <v>0.19</v>
      </c>
      <c r="H282" s="35">
        <f t="shared" si="72"/>
        <v>0.01</v>
      </c>
      <c r="I282" s="35">
        <f t="shared" si="73"/>
        <v>0</v>
      </c>
      <c r="J282" s="128">
        <v>0.65</v>
      </c>
      <c r="K282" s="128">
        <v>0.05</v>
      </c>
      <c r="L282" s="128">
        <v>0.02</v>
      </c>
      <c r="M282" s="114">
        <f t="shared" si="74"/>
        <v>1.01</v>
      </c>
      <c r="N282" s="35">
        <f t="shared" si="75"/>
        <v>71.287128712871294</v>
      </c>
      <c r="O282" s="35">
        <f t="shared" si="76"/>
        <v>19.801980198019802</v>
      </c>
      <c r="P282" s="35">
        <f t="shared" si="77"/>
        <v>8.9108910891089099</v>
      </c>
      <c r="Q282" s="35">
        <f t="shared" si="78"/>
        <v>0.12499999999999999</v>
      </c>
      <c r="R282" s="35">
        <f t="shared" si="79"/>
        <v>4.9999999999999996E-2</v>
      </c>
      <c r="S282" s="35">
        <f t="shared" si="80"/>
        <v>5.8823529411764705E-2</v>
      </c>
      <c r="T282" s="35">
        <f t="shared" si="81"/>
        <v>0</v>
      </c>
      <c r="U282" s="35">
        <f t="shared" si="82"/>
        <v>0.15</v>
      </c>
      <c r="V282" s="35">
        <f t="shared" si="83"/>
        <v>0.55555555555555558</v>
      </c>
      <c r="W282" s="35"/>
      <c r="X282" s="128">
        <v>0.16</v>
      </c>
      <c r="Y282" s="128">
        <v>0.03</v>
      </c>
      <c r="Z282" s="128">
        <v>0.01</v>
      </c>
      <c r="AA282" s="128">
        <v>0</v>
      </c>
      <c r="AB282" s="128">
        <v>0</v>
      </c>
      <c r="AC282" s="128">
        <v>0</v>
      </c>
      <c r="AD282" s="128">
        <v>0.04</v>
      </c>
      <c r="AE282" s="128">
        <v>0.05</v>
      </c>
      <c r="AF282" s="128">
        <v>0</v>
      </c>
      <c r="AG282" s="128">
        <v>0</v>
      </c>
      <c r="AH282" s="128">
        <v>0</v>
      </c>
      <c r="AI282" s="128">
        <v>0</v>
      </c>
    </row>
    <row r="283" spans="1:35" x14ac:dyDescent="0.2">
      <c r="A283" s="110" t="s">
        <v>891</v>
      </c>
      <c r="B283" t="s">
        <v>902</v>
      </c>
      <c r="C283" t="s">
        <v>904</v>
      </c>
      <c r="D283" s="35">
        <f t="shared" si="68"/>
        <v>7.0000000000000007E-2</v>
      </c>
      <c r="E283" s="35">
        <f t="shared" si="69"/>
        <v>0</v>
      </c>
      <c r="F283" s="35">
        <f t="shared" si="70"/>
        <v>0</v>
      </c>
      <c r="G283" s="35">
        <f t="shared" si="71"/>
        <v>0.18</v>
      </c>
      <c r="H283" s="35">
        <f t="shared" si="72"/>
        <v>0.01</v>
      </c>
      <c r="I283" s="35">
        <f t="shared" si="73"/>
        <v>0</v>
      </c>
      <c r="J283" s="128">
        <v>0.68</v>
      </c>
      <c r="K283" s="128">
        <v>0.04</v>
      </c>
      <c r="L283" s="128">
        <v>0.02</v>
      </c>
      <c r="M283" s="114">
        <f t="shared" si="74"/>
        <v>1</v>
      </c>
      <c r="N283" s="35">
        <f t="shared" si="75"/>
        <v>74.000000000000014</v>
      </c>
      <c r="O283" s="35">
        <f t="shared" si="76"/>
        <v>19</v>
      </c>
      <c r="P283" s="35">
        <f t="shared" si="77"/>
        <v>7.0000000000000009</v>
      </c>
      <c r="Q283" s="35">
        <f t="shared" si="78"/>
        <v>0.1081081081081081</v>
      </c>
      <c r="R283" s="35">
        <f t="shared" si="79"/>
        <v>5.2631578947368418E-2</v>
      </c>
      <c r="S283" s="35">
        <f t="shared" si="80"/>
        <v>6.25E-2</v>
      </c>
      <c r="T283" s="35">
        <f t="shared" si="81"/>
        <v>0</v>
      </c>
      <c r="U283" s="35">
        <f t="shared" si="82"/>
        <v>0.15789473684210525</v>
      </c>
      <c r="V283" s="35">
        <f t="shared" si="83"/>
        <v>0.5714285714285714</v>
      </c>
      <c r="W283" s="35"/>
      <c r="X283" s="128">
        <v>0.15</v>
      </c>
      <c r="Y283" s="128">
        <v>0.03</v>
      </c>
      <c r="Z283" s="128">
        <v>0.01</v>
      </c>
      <c r="AA283" s="128">
        <v>0</v>
      </c>
      <c r="AB283" s="128">
        <v>0</v>
      </c>
      <c r="AC283" s="128">
        <v>0</v>
      </c>
      <c r="AD283" s="128">
        <v>0.03</v>
      </c>
      <c r="AE283" s="128">
        <v>0.04</v>
      </c>
      <c r="AF283" s="128">
        <v>0</v>
      </c>
      <c r="AG283" s="128">
        <v>0</v>
      </c>
      <c r="AH283" s="128">
        <v>0</v>
      </c>
      <c r="AI283" s="128">
        <v>0</v>
      </c>
    </row>
    <row r="284" spans="1:35" x14ac:dyDescent="0.2">
      <c r="A284" s="110" t="s">
        <v>891</v>
      </c>
      <c r="B284" t="s">
        <v>902</v>
      </c>
      <c r="C284" t="s">
        <v>904</v>
      </c>
      <c r="D284" s="35">
        <f t="shared" si="68"/>
        <v>0.06</v>
      </c>
      <c r="E284" s="35">
        <f t="shared" si="69"/>
        <v>0</v>
      </c>
      <c r="F284" s="35">
        <f t="shared" si="70"/>
        <v>0</v>
      </c>
      <c r="G284" s="35">
        <f t="shared" si="71"/>
        <v>0.19</v>
      </c>
      <c r="H284" s="35">
        <f t="shared" si="72"/>
        <v>0.01</v>
      </c>
      <c r="I284" s="35">
        <f t="shared" si="73"/>
        <v>0</v>
      </c>
      <c r="J284" s="128">
        <v>0.65</v>
      </c>
      <c r="K284" s="128">
        <v>0.05</v>
      </c>
      <c r="L284" s="128">
        <v>0.02</v>
      </c>
      <c r="M284" s="114">
        <f t="shared" si="74"/>
        <v>0.98000000000000009</v>
      </c>
      <c r="N284" s="35">
        <f t="shared" si="75"/>
        <v>73.469387755102048</v>
      </c>
      <c r="O284" s="35">
        <f t="shared" si="76"/>
        <v>20.408163265306122</v>
      </c>
      <c r="P284" s="35">
        <f t="shared" si="77"/>
        <v>6.1224489795918355</v>
      </c>
      <c r="Q284" s="35">
        <f t="shared" si="78"/>
        <v>0.12499999999999999</v>
      </c>
      <c r="R284" s="35">
        <f t="shared" si="79"/>
        <v>4.9999999999999996E-2</v>
      </c>
      <c r="S284" s="35">
        <f t="shared" si="80"/>
        <v>5.5555555555555552E-2</v>
      </c>
      <c r="T284" s="35">
        <f t="shared" si="81"/>
        <v>0</v>
      </c>
      <c r="U284" s="35">
        <f t="shared" si="82"/>
        <v>9.9999999999999992E-2</v>
      </c>
      <c r="V284" s="35">
        <f t="shared" si="83"/>
        <v>0.5</v>
      </c>
      <c r="W284" s="35"/>
      <c r="X284" s="128">
        <v>0.17</v>
      </c>
      <c r="Y284" s="128">
        <v>0.02</v>
      </c>
      <c r="Z284" s="128">
        <v>0.01</v>
      </c>
      <c r="AA284" s="128">
        <v>0</v>
      </c>
      <c r="AB284" s="128">
        <v>0</v>
      </c>
      <c r="AC284" s="128">
        <v>0</v>
      </c>
      <c r="AD284" s="128">
        <v>0.03</v>
      </c>
      <c r="AE284" s="128">
        <v>0.03</v>
      </c>
      <c r="AF284" s="128">
        <v>0</v>
      </c>
      <c r="AG284" s="128">
        <v>0</v>
      </c>
      <c r="AH284" s="128">
        <v>0</v>
      </c>
      <c r="AI284" s="128">
        <v>0</v>
      </c>
    </row>
    <row r="285" spans="1:35" x14ac:dyDescent="0.2">
      <c r="A285" s="110" t="s">
        <v>891</v>
      </c>
      <c r="B285" t="s">
        <v>902</v>
      </c>
      <c r="C285" t="s">
        <v>904</v>
      </c>
      <c r="D285" s="35">
        <f t="shared" si="68"/>
        <v>0.06</v>
      </c>
      <c r="E285" s="35">
        <f t="shared" si="69"/>
        <v>0</v>
      </c>
      <c r="F285" s="35">
        <f t="shared" si="70"/>
        <v>0</v>
      </c>
      <c r="G285" s="35">
        <f t="shared" si="71"/>
        <v>0.16999999999999998</v>
      </c>
      <c r="H285" s="35">
        <f t="shared" si="72"/>
        <v>0.01</v>
      </c>
      <c r="I285" s="35">
        <f t="shared" si="73"/>
        <v>0</v>
      </c>
      <c r="J285" s="128">
        <v>0.67</v>
      </c>
      <c r="K285" s="128">
        <v>0.05</v>
      </c>
      <c r="L285" s="128">
        <v>0.02</v>
      </c>
      <c r="M285" s="114">
        <f t="shared" si="74"/>
        <v>0.98000000000000009</v>
      </c>
      <c r="N285" s="35">
        <f t="shared" si="75"/>
        <v>75.510204081632665</v>
      </c>
      <c r="O285" s="35">
        <f t="shared" si="76"/>
        <v>18.367346938775508</v>
      </c>
      <c r="P285" s="35">
        <f t="shared" si="77"/>
        <v>6.1224489795918355</v>
      </c>
      <c r="Q285" s="35">
        <f t="shared" si="78"/>
        <v>0.1216216216216216</v>
      </c>
      <c r="R285" s="35">
        <f t="shared" si="79"/>
        <v>5.5555555555555559E-2</v>
      </c>
      <c r="S285" s="35">
        <f t="shared" si="80"/>
        <v>6.25E-2</v>
      </c>
      <c r="T285" s="35">
        <f t="shared" si="81"/>
        <v>0</v>
      </c>
      <c r="U285" s="35">
        <f t="shared" si="82"/>
        <v>0.11111111111111112</v>
      </c>
      <c r="V285" s="35">
        <f t="shared" si="83"/>
        <v>0.5</v>
      </c>
      <c r="W285" s="35"/>
      <c r="X285" s="128">
        <v>0.15</v>
      </c>
      <c r="Y285" s="128">
        <v>0.02</v>
      </c>
      <c r="Z285" s="128">
        <v>0.01</v>
      </c>
      <c r="AA285" s="128">
        <v>0</v>
      </c>
      <c r="AB285" s="128">
        <v>0</v>
      </c>
      <c r="AC285" s="128">
        <v>0</v>
      </c>
      <c r="AD285" s="128">
        <v>0.03</v>
      </c>
      <c r="AE285" s="128">
        <v>0.03</v>
      </c>
      <c r="AF285" s="128">
        <v>0</v>
      </c>
      <c r="AG285" s="128">
        <v>0</v>
      </c>
      <c r="AH285" s="128">
        <v>0</v>
      </c>
      <c r="AI285" s="128">
        <v>0</v>
      </c>
    </row>
    <row r="286" spans="1:35" x14ac:dyDescent="0.2">
      <c r="A286" s="110" t="s">
        <v>891</v>
      </c>
      <c r="B286" t="s">
        <v>902</v>
      </c>
      <c r="C286" t="s">
        <v>904</v>
      </c>
      <c r="D286" s="35">
        <f t="shared" si="68"/>
        <v>0.08</v>
      </c>
      <c r="E286" s="35">
        <f t="shared" si="69"/>
        <v>0</v>
      </c>
      <c r="F286" s="35">
        <f t="shared" si="70"/>
        <v>0</v>
      </c>
      <c r="G286" s="35">
        <f t="shared" si="71"/>
        <v>0.2</v>
      </c>
      <c r="H286" s="35">
        <f t="shared" si="72"/>
        <v>0.01</v>
      </c>
      <c r="I286" s="35">
        <f t="shared" si="73"/>
        <v>0</v>
      </c>
      <c r="J286" s="128">
        <v>0.64</v>
      </c>
      <c r="K286" s="128">
        <v>0.05</v>
      </c>
      <c r="L286" s="128">
        <v>0.02</v>
      </c>
      <c r="M286" s="114">
        <f t="shared" si="74"/>
        <v>1</v>
      </c>
      <c r="N286" s="35">
        <f t="shared" si="75"/>
        <v>71.000000000000014</v>
      </c>
      <c r="O286" s="35">
        <f t="shared" si="76"/>
        <v>21.000000000000004</v>
      </c>
      <c r="P286" s="35">
        <f t="shared" si="77"/>
        <v>8</v>
      </c>
      <c r="Q286" s="35">
        <f t="shared" si="78"/>
        <v>0.12676056338028166</v>
      </c>
      <c r="R286" s="35">
        <f t="shared" si="79"/>
        <v>4.7619047619047616E-2</v>
      </c>
      <c r="S286" s="35">
        <f t="shared" si="80"/>
        <v>5.5555555555555552E-2</v>
      </c>
      <c r="T286" s="35">
        <f t="shared" si="81"/>
        <v>0</v>
      </c>
      <c r="U286" s="35">
        <f t="shared" si="82"/>
        <v>0.14285714285714285</v>
      </c>
      <c r="V286" s="35">
        <f t="shared" si="83"/>
        <v>0.5</v>
      </c>
      <c r="W286" s="35"/>
      <c r="X286" s="128">
        <v>0.17</v>
      </c>
      <c r="Y286" s="128">
        <v>0.03</v>
      </c>
      <c r="Z286" s="128">
        <v>0.01</v>
      </c>
      <c r="AA286" s="128">
        <v>0</v>
      </c>
      <c r="AB286" s="128">
        <v>0</v>
      </c>
      <c r="AC286" s="128">
        <v>0</v>
      </c>
      <c r="AD286" s="128">
        <v>0.04</v>
      </c>
      <c r="AE286" s="128">
        <v>0.04</v>
      </c>
      <c r="AF286" s="128">
        <v>0</v>
      </c>
      <c r="AG286" s="128">
        <v>0</v>
      </c>
      <c r="AH286" s="128">
        <v>0</v>
      </c>
      <c r="AI286" s="128">
        <v>0</v>
      </c>
    </row>
    <row r="287" spans="1:35" x14ac:dyDescent="0.2">
      <c r="A287" s="110" t="s">
        <v>891</v>
      </c>
      <c r="B287" t="s">
        <v>902</v>
      </c>
      <c r="C287" t="s">
        <v>904</v>
      </c>
      <c r="D287" s="35">
        <f t="shared" si="68"/>
        <v>0.08</v>
      </c>
      <c r="E287" s="35">
        <f t="shared" si="69"/>
        <v>0</v>
      </c>
      <c r="F287" s="35">
        <f t="shared" si="70"/>
        <v>0</v>
      </c>
      <c r="G287" s="35">
        <f t="shared" si="71"/>
        <v>0.22</v>
      </c>
      <c r="H287" s="35">
        <f t="shared" si="72"/>
        <v>0.01</v>
      </c>
      <c r="I287" s="35">
        <f t="shared" si="73"/>
        <v>0</v>
      </c>
      <c r="J287" s="128">
        <v>0.62</v>
      </c>
      <c r="K287" s="128">
        <v>0.05</v>
      </c>
      <c r="L287" s="128">
        <v>0.02</v>
      </c>
      <c r="M287" s="114">
        <f t="shared" si="74"/>
        <v>1</v>
      </c>
      <c r="N287" s="35">
        <f t="shared" si="75"/>
        <v>69</v>
      </c>
      <c r="O287" s="35">
        <f t="shared" si="76"/>
        <v>23</v>
      </c>
      <c r="P287" s="35">
        <f t="shared" si="77"/>
        <v>8</v>
      </c>
      <c r="Q287" s="35">
        <f t="shared" si="78"/>
        <v>0.13043478260869565</v>
      </c>
      <c r="R287" s="35">
        <f t="shared" si="79"/>
        <v>4.3478260869565216E-2</v>
      </c>
      <c r="S287" s="35">
        <f t="shared" si="80"/>
        <v>4.9999999999999996E-2</v>
      </c>
      <c r="T287" s="35">
        <f t="shared" si="81"/>
        <v>0</v>
      </c>
      <c r="U287" s="35">
        <f t="shared" si="82"/>
        <v>0.13043478260869565</v>
      </c>
      <c r="V287" s="35">
        <f t="shared" si="83"/>
        <v>0.375</v>
      </c>
      <c r="W287" s="35"/>
      <c r="X287" s="128">
        <v>0.19</v>
      </c>
      <c r="Y287" s="128">
        <v>0.03</v>
      </c>
      <c r="Z287" s="128">
        <v>0.01</v>
      </c>
      <c r="AA287" s="128">
        <v>0</v>
      </c>
      <c r="AB287" s="128">
        <v>0</v>
      </c>
      <c r="AC287" s="128">
        <v>0</v>
      </c>
      <c r="AD287" s="128">
        <v>0.05</v>
      </c>
      <c r="AE287" s="128">
        <v>0.03</v>
      </c>
      <c r="AF287" s="128">
        <v>0</v>
      </c>
      <c r="AG287" s="128">
        <v>0</v>
      </c>
      <c r="AH287" s="128">
        <v>0</v>
      </c>
      <c r="AI287" s="128">
        <v>0</v>
      </c>
    </row>
    <row r="288" spans="1:35" x14ac:dyDescent="0.2">
      <c r="A288" s="110" t="s">
        <v>891</v>
      </c>
      <c r="B288" t="s">
        <v>902</v>
      </c>
      <c r="C288" t="s">
        <v>904</v>
      </c>
      <c r="D288" s="35">
        <f t="shared" si="68"/>
        <v>0.08</v>
      </c>
      <c r="E288" s="35">
        <f t="shared" si="69"/>
        <v>0</v>
      </c>
      <c r="F288" s="35">
        <f t="shared" si="70"/>
        <v>0</v>
      </c>
      <c r="G288" s="35">
        <f t="shared" si="71"/>
        <v>0.21</v>
      </c>
      <c r="H288" s="35">
        <f t="shared" si="72"/>
        <v>0</v>
      </c>
      <c r="I288" s="35">
        <f t="shared" si="73"/>
        <v>0</v>
      </c>
      <c r="J288" s="128">
        <v>0.71</v>
      </c>
      <c r="K288" s="128">
        <v>0</v>
      </c>
      <c r="L288" s="128">
        <v>0</v>
      </c>
      <c r="M288" s="114">
        <f t="shared" si="74"/>
        <v>1</v>
      </c>
      <c r="N288" s="35">
        <f t="shared" si="75"/>
        <v>71</v>
      </c>
      <c r="O288" s="35">
        <f t="shared" si="76"/>
        <v>21</v>
      </c>
      <c r="P288" s="35">
        <f t="shared" si="77"/>
        <v>8</v>
      </c>
      <c r="Q288" s="35">
        <f t="shared" si="78"/>
        <v>0</v>
      </c>
      <c r="R288" s="35">
        <f t="shared" si="79"/>
        <v>0</v>
      </c>
      <c r="S288" s="35">
        <f t="shared" si="80"/>
        <v>0</v>
      </c>
      <c r="T288" s="35">
        <f t="shared" si="81"/>
        <v>0</v>
      </c>
      <c r="U288" s="35">
        <f t="shared" si="82"/>
        <v>0.14285714285714285</v>
      </c>
      <c r="V288" s="35">
        <f t="shared" si="83"/>
        <v>0.5</v>
      </c>
      <c r="W288" s="35"/>
      <c r="X288" s="128">
        <v>0.18</v>
      </c>
      <c r="Y288" s="128">
        <v>0.03</v>
      </c>
      <c r="Z288" s="128">
        <v>0</v>
      </c>
      <c r="AA288" s="128">
        <v>0</v>
      </c>
      <c r="AB288" s="128">
        <v>0</v>
      </c>
      <c r="AC288" s="128">
        <v>0</v>
      </c>
      <c r="AD288" s="128">
        <v>0.04</v>
      </c>
      <c r="AE288" s="128">
        <v>0.04</v>
      </c>
      <c r="AF288" s="128">
        <v>0</v>
      </c>
      <c r="AG288" s="128">
        <v>0</v>
      </c>
      <c r="AH288" s="128">
        <v>0</v>
      </c>
      <c r="AI288" s="128">
        <v>0</v>
      </c>
    </row>
    <row r="289" spans="1:35" x14ac:dyDescent="0.2">
      <c r="A289" s="110" t="s">
        <v>891</v>
      </c>
      <c r="B289" t="s">
        <v>902</v>
      </c>
      <c r="C289" t="s">
        <v>904</v>
      </c>
      <c r="D289" s="35">
        <f t="shared" ref="D289:D349" si="84">SUM(AD289:AE289)</f>
        <v>7.0000000000000007E-2</v>
      </c>
      <c r="E289" s="35">
        <f t="shared" ref="E289:E349" si="85">SUM(AF289:AG289)</f>
        <v>0</v>
      </c>
      <c r="F289" s="35">
        <f t="shared" ref="F289:F349" si="86">SUM(AH289:AI289)</f>
        <v>0</v>
      </c>
      <c r="G289" s="35">
        <f t="shared" ref="G289:G349" si="87">SUM(X289:Y289)</f>
        <v>0.22</v>
      </c>
      <c r="H289" s="35">
        <f t="shared" ref="H289:H349" si="88">SUM(Z289:AA289)</f>
        <v>0.01</v>
      </c>
      <c r="I289" s="35">
        <f t="shared" ref="I289:I349" si="89">SUM(AB289:AC289)</f>
        <v>0</v>
      </c>
      <c r="J289" s="128">
        <v>0.62</v>
      </c>
      <c r="K289" s="128">
        <v>0.04</v>
      </c>
      <c r="L289" s="128">
        <v>0.02</v>
      </c>
      <c r="M289" s="114">
        <f t="shared" si="74"/>
        <v>0.98000000000000009</v>
      </c>
      <c r="N289" s="35">
        <f t="shared" si="75"/>
        <v>69.387755102040813</v>
      </c>
      <c r="O289" s="35">
        <f t="shared" si="76"/>
        <v>23.469387755102041</v>
      </c>
      <c r="P289" s="35">
        <f t="shared" si="77"/>
        <v>7.1428571428571423</v>
      </c>
      <c r="Q289" s="35">
        <f t="shared" si="78"/>
        <v>0.11764705882352941</v>
      </c>
      <c r="R289" s="35">
        <f t="shared" si="79"/>
        <v>4.3478260869565216E-2</v>
      </c>
      <c r="S289" s="35">
        <f t="shared" si="80"/>
        <v>5.8823529411764705E-2</v>
      </c>
      <c r="T289" s="35">
        <f t="shared" si="81"/>
        <v>0</v>
      </c>
      <c r="U289" s="35">
        <f t="shared" si="82"/>
        <v>0.2608695652173913</v>
      </c>
      <c r="V289" s="35">
        <f t="shared" si="83"/>
        <v>0.42857142857142849</v>
      </c>
      <c r="W289" s="35"/>
      <c r="X289" s="128">
        <v>0.16</v>
      </c>
      <c r="Y289" s="128">
        <v>0.06</v>
      </c>
      <c r="Z289" s="128">
        <v>0.01</v>
      </c>
      <c r="AA289" s="128">
        <v>0</v>
      </c>
      <c r="AB289" s="128">
        <v>0</v>
      </c>
      <c r="AC289" s="128">
        <v>0</v>
      </c>
      <c r="AD289" s="128">
        <v>0.04</v>
      </c>
      <c r="AE289" s="128">
        <v>0.03</v>
      </c>
      <c r="AF289" s="128">
        <v>0</v>
      </c>
      <c r="AG289" s="128">
        <v>0</v>
      </c>
      <c r="AH289" s="128">
        <v>0</v>
      </c>
      <c r="AI289" s="128">
        <v>0</v>
      </c>
    </row>
    <row r="290" spans="1:35" x14ac:dyDescent="0.2">
      <c r="A290" s="110" t="s">
        <v>891</v>
      </c>
      <c r="B290" t="s">
        <v>902</v>
      </c>
      <c r="C290" t="s">
        <v>904</v>
      </c>
      <c r="D290" s="35">
        <f t="shared" si="84"/>
        <v>7.0000000000000007E-2</v>
      </c>
      <c r="E290" s="35">
        <f t="shared" si="85"/>
        <v>0</v>
      </c>
      <c r="F290" s="35">
        <f t="shared" si="86"/>
        <v>0</v>
      </c>
      <c r="G290" s="35">
        <f t="shared" si="87"/>
        <v>0.19</v>
      </c>
      <c r="H290" s="35">
        <f t="shared" si="88"/>
        <v>0.01</v>
      </c>
      <c r="I290" s="35">
        <f t="shared" si="89"/>
        <v>0</v>
      </c>
      <c r="J290" s="128">
        <v>0.64</v>
      </c>
      <c r="K290" s="128">
        <v>0.06</v>
      </c>
      <c r="L290" s="128">
        <v>0.03</v>
      </c>
      <c r="M290" s="114">
        <f t="shared" si="74"/>
        <v>1</v>
      </c>
      <c r="N290" s="35">
        <f t="shared" si="75"/>
        <v>73</v>
      </c>
      <c r="O290" s="35">
        <f t="shared" si="76"/>
        <v>20</v>
      </c>
      <c r="P290" s="35">
        <f t="shared" si="77"/>
        <v>7.0000000000000009</v>
      </c>
      <c r="Q290" s="35">
        <f t="shared" si="78"/>
        <v>0.16438356164383561</v>
      </c>
      <c r="R290" s="35">
        <f t="shared" si="79"/>
        <v>4.9999999999999996E-2</v>
      </c>
      <c r="S290" s="35">
        <f t="shared" si="80"/>
        <v>5.5555555555555552E-2</v>
      </c>
      <c r="T290" s="35">
        <f t="shared" si="81"/>
        <v>0</v>
      </c>
      <c r="U290" s="35">
        <f t="shared" si="82"/>
        <v>9.9999999999999992E-2</v>
      </c>
      <c r="V290" s="35">
        <f t="shared" si="83"/>
        <v>0.42857142857142849</v>
      </c>
      <c r="W290" s="35"/>
      <c r="X290" s="128">
        <v>0.17</v>
      </c>
      <c r="Y290" s="128">
        <v>0.02</v>
      </c>
      <c r="Z290" s="128">
        <v>0.01</v>
      </c>
      <c r="AA290" s="128">
        <v>0</v>
      </c>
      <c r="AB290" s="128">
        <v>0</v>
      </c>
      <c r="AC290" s="128">
        <v>0</v>
      </c>
      <c r="AD290" s="128">
        <v>0.04</v>
      </c>
      <c r="AE290" s="128">
        <v>0.03</v>
      </c>
      <c r="AF290" s="128">
        <v>0</v>
      </c>
      <c r="AG290" s="128">
        <v>0</v>
      </c>
      <c r="AH290" s="128">
        <v>0</v>
      </c>
      <c r="AI290" s="128">
        <v>0</v>
      </c>
    </row>
    <row r="291" spans="1:35" x14ac:dyDescent="0.2">
      <c r="A291" s="110" t="s">
        <v>891</v>
      </c>
      <c r="B291" t="s">
        <v>902</v>
      </c>
      <c r="C291" t="s">
        <v>904</v>
      </c>
      <c r="D291" s="35">
        <f t="shared" si="84"/>
        <v>0.08</v>
      </c>
      <c r="E291" s="35">
        <f t="shared" si="85"/>
        <v>0</v>
      </c>
      <c r="F291" s="35">
        <f t="shared" si="86"/>
        <v>0</v>
      </c>
      <c r="G291" s="35">
        <f t="shared" si="87"/>
        <v>0.2</v>
      </c>
      <c r="H291" s="35">
        <f t="shared" si="88"/>
        <v>0.02</v>
      </c>
      <c r="I291" s="35">
        <f t="shared" si="89"/>
        <v>0</v>
      </c>
      <c r="J291" s="128">
        <v>0.64</v>
      </c>
      <c r="K291" s="128">
        <v>0.05</v>
      </c>
      <c r="L291" s="128">
        <v>0.02</v>
      </c>
      <c r="M291" s="114">
        <f t="shared" si="74"/>
        <v>1.01</v>
      </c>
      <c r="N291" s="35">
        <f t="shared" si="75"/>
        <v>70.297029702970306</v>
      </c>
      <c r="O291" s="35">
        <f t="shared" si="76"/>
        <v>21.782178217821784</v>
      </c>
      <c r="P291" s="35">
        <f t="shared" si="77"/>
        <v>7.9207920792079207</v>
      </c>
      <c r="Q291" s="35">
        <f t="shared" si="78"/>
        <v>0.12676056338028166</v>
      </c>
      <c r="R291" s="35">
        <f t="shared" si="79"/>
        <v>9.0909090909090912E-2</v>
      </c>
      <c r="S291" s="35">
        <f t="shared" si="80"/>
        <v>5.5555555555555552E-2</v>
      </c>
      <c r="T291" s="35">
        <f t="shared" si="81"/>
        <v>0.25</v>
      </c>
      <c r="U291" s="35">
        <f t="shared" si="82"/>
        <v>0.18181818181818182</v>
      </c>
      <c r="V291" s="35">
        <f t="shared" si="83"/>
        <v>0.5</v>
      </c>
      <c r="W291" s="35"/>
      <c r="X291" s="128">
        <v>0.17</v>
      </c>
      <c r="Y291" s="128">
        <v>0.03</v>
      </c>
      <c r="Z291" s="128">
        <v>0.01</v>
      </c>
      <c r="AA291" s="128">
        <v>0.01</v>
      </c>
      <c r="AB291" s="128">
        <v>0</v>
      </c>
      <c r="AC291" s="128">
        <v>0</v>
      </c>
      <c r="AD291" s="128">
        <v>0.04</v>
      </c>
      <c r="AE291" s="128">
        <v>0.04</v>
      </c>
      <c r="AF291" s="128">
        <v>0</v>
      </c>
      <c r="AG291" s="128">
        <v>0</v>
      </c>
      <c r="AH291" s="128">
        <v>0</v>
      </c>
      <c r="AI291" s="128">
        <v>0</v>
      </c>
    </row>
    <row r="292" spans="1:35" x14ac:dyDescent="0.2">
      <c r="A292" s="110" t="s">
        <v>891</v>
      </c>
      <c r="B292" t="s">
        <v>902</v>
      </c>
      <c r="C292" t="s">
        <v>904</v>
      </c>
      <c r="D292" s="35">
        <f t="shared" si="84"/>
        <v>7.0000000000000007E-2</v>
      </c>
      <c r="E292" s="35">
        <f t="shared" si="85"/>
        <v>0</v>
      </c>
      <c r="F292" s="35">
        <f t="shared" si="86"/>
        <v>0</v>
      </c>
      <c r="G292" s="35">
        <f t="shared" si="87"/>
        <v>0.16</v>
      </c>
      <c r="H292" s="35">
        <f t="shared" si="88"/>
        <v>0.01</v>
      </c>
      <c r="I292" s="35">
        <f t="shared" si="89"/>
        <v>0</v>
      </c>
      <c r="J292" s="128">
        <v>0.69</v>
      </c>
      <c r="K292" s="128">
        <v>0.04</v>
      </c>
      <c r="L292" s="128">
        <v>0.02</v>
      </c>
      <c r="M292" s="114">
        <f t="shared" si="74"/>
        <v>0.99</v>
      </c>
      <c r="N292" s="35">
        <f t="shared" si="75"/>
        <v>75.757575757575751</v>
      </c>
      <c r="O292" s="35">
        <f t="shared" si="76"/>
        <v>17.171717171717173</v>
      </c>
      <c r="P292" s="35">
        <f t="shared" si="77"/>
        <v>7.0707070707070718</v>
      </c>
      <c r="Q292" s="35">
        <f t="shared" si="78"/>
        <v>0.10666666666666667</v>
      </c>
      <c r="R292" s="35">
        <f t="shared" si="79"/>
        <v>5.8823529411764705E-2</v>
      </c>
      <c r="S292" s="35">
        <f t="shared" si="80"/>
        <v>7.1428571428571425E-2</v>
      </c>
      <c r="T292" s="35">
        <f t="shared" si="81"/>
        <v>0</v>
      </c>
      <c r="U292" s="35">
        <f t="shared" si="82"/>
        <v>0.1764705882352941</v>
      </c>
      <c r="V292" s="35">
        <f t="shared" si="83"/>
        <v>0.5714285714285714</v>
      </c>
      <c r="W292" s="35"/>
      <c r="X292" s="128">
        <v>0.13</v>
      </c>
      <c r="Y292" s="128">
        <v>0.03</v>
      </c>
      <c r="Z292" s="128">
        <v>0.01</v>
      </c>
      <c r="AA292" s="128">
        <v>0</v>
      </c>
      <c r="AB292" s="128">
        <v>0</v>
      </c>
      <c r="AC292" s="128">
        <v>0</v>
      </c>
      <c r="AD292" s="128">
        <v>0.03</v>
      </c>
      <c r="AE292" s="128">
        <v>0.04</v>
      </c>
      <c r="AF292" s="128">
        <v>0</v>
      </c>
      <c r="AG292" s="128">
        <v>0</v>
      </c>
      <c r="AH292" s="128">
        <v>0</v>
      </c>
      <c r="AI292" s="128">
        <v>0</v>
      </c>
    </row>
    <row r="293" spans="1:35" x14ac:dyDescent="0.2">
      <c r="A293" s="110" t="s">
        <v>891</v>
      </c>
      <c r="B293" t="s">
        <v>902</v>
      </c>
      <c r="C293" t="s">
        <v>904</v>
      </c>
      <c r="D293" s="35">
        <f t="shared" si="84"/>
        <v>0.08</v>
      </c>
      <c r="E293" s="35">
        <f t="shared" si="85"/>
        <v>0</v>
      </c>
      <c r="F293" s="35">
        <f t="shared" si="86"/>
        <v>0</v>
      </c>
      <c r="G293" s="35">
        <f t="shared" si="87"/>
        <v>0.19</v>
      </c>
      <c r="H293" s="35">
        <f t="shared" si="88"/>
        <v>0.01</v>
      </c>
      <c r="I293" s="35">
        <f t="shared" si="89"/>
        <v>0</v>
      </c>
      <c r="J293" s="128">
        <v>0.63</v>
      </c>
      <c r="K293" s="128">
        <v>0.05</v>
      </c>
      <c r="L293" s="128">
        <v>0.02</v>
      </c>
      <c r="M293" s="114">
        <f t="shared" si="74"/>
        <v>0.98000000000000009</v>
      </c>
      <c r="N293" s="35">
        <f t="shared" si="75"/>
        <v>71.428571428571431</v>
      </c>
      <c r="O293" s="35">
        <f t="shared" si="76"/>
        <v>20.408163265306122</v>
      </c>
      <c r="P293" s="35">
        <f t="shared" si="77"/>
        <v>8.1632653061224492</v>
      </c>
      <c r="Q293" s="35">
        <f t="shared" si="78"/>
        <v>0.12857142857142856</v>
      </c>
      <c r="R293" s="35">
        <f t="shared" si="79"/>
        <v>4.9999999999999996E-2</v>
      </c>
      <c r="S293" s="35">
        <f t="shared" si="80"/>
        <v>5.5555555555555552E-2</v>
      </c>
      <c r="T293" s="35">
        <f t="shared" si="81"/>
        <v>0</v>
      </c>
      <c r="U293" s="35">
        <f t="shared" si="82"/>
        <v>9.9999999999999992E-2</v>
      </c>
      <c r="V293" s="35">
        <f t="shared" si="83"/>
        <v>0.5</v>
      </c>
      <c r="W293" s="35"/>
      <c r="X293" s="128">
        <v>0.17</v>
      </c>
      <c r="Y293" s="128">
        <v>0.02</v>
      </c>
      <c r="Z293" s="128">
        <v>0.01</v>
      </c>
      <c r="AA293" s="128">
        <v>0</v>
      </c>
      <c r="AB293" s="128">
        <v>0</v>
      </c>
      <c r="AC293" s="128">
        <v>0</v>
      </c>
      <c r="AD293" s="128">
        <v>0.04</v>
      </c>
      <c r="AE293" s="128">
        <v>0.04</v>
      </c>
      <c r="AF293" s="128">
        <v>0</v>
      </c>
      <c r="AG293" s="128">
        <v>0</v>
      </c>
      <c r="AH293" s="128">
        <v>0</v>
      </c>
      <c r="AI293" s="128">
        <v>0</v>
      </c>
    </row>
    <row r="294" spans="1:35" x14ac:dyDescent="0.2">
      <c r="A294" s="110" t="s">
        <v>891</v>
      </c>
      <c r="B294" t="s">
        <v>902</v>
      </c>
      <c r="C294" t="s">
        <v>904</v>
      </c>
      <c r="D294" s="35">
        <f t="shared" si="84"/>
        <v>0.08</v>
      </c>
      <c r="E294" s="35">
        <f t="shared" si="85"/>
        <v>0</v>
      </c>
      <c r="F294" s="35">
        <f t="shared" si="86"/>
        <v>0</v>
      </c>
      <c r="G294" s="35">
        <f t="shared" si="87"/>
        <v>0.18</v>
      </c>
      <c r="H294" s="35">
        <f t="shared" si="88"/>
        <v>0.02</v>
      </c>
      <c r="I294" s="35">
        <f t="shared" si="89"/>
        <v>0</v>
      </c>
      <c r="J294" s="128">
        <v>0.64</v>
      </c>
      <c r="K294" s="128">
        <v>0.05</v>
      </c>
      <c r="L294" s="128">
        <v>0.02</v>
      </c>
      <c r="M294" s="114">
        <f t="shared" si="74"/>
        <v>0.9900000000000001</v>
      </c>
      <c r="N294" s="35">
        <f t="shared" si="75"/>
        <v>71.717171717171709</v>
      </c>
      <c r="O294" s="35">
        <f t="shared" si="76"/>
        <v>20.202020202020201</v>
      </c>
      <c r="P294" s="35">
        <f t="shared" si="77"/>
        <v>8.0808080808080796</v>
      </c>
      <c r="Q294" s="35">
        <f t="shared" si="78"/>
        <v>0.12676056338028166</v>
      </c>
      <c r="R294" s="35">
        <f t="shared" si="79"/>
        <v>0.1</v>
      </c>
      <c r="S294" s="35">
        <f t="shared" si="80"/>
        <v>5.8823529411764705E-2</v>
      </c>
      <c r="T294" s="35">
        <f t="shared" si="81"/>
        <v>0.33333333333333337</v>
      </c>
      <c r="U294" s="35">
        <f t="shared" si="82"/>
        <v>0.15</v>
      </c>
      <c r="V294" s="35">
        <f t="shared" si="83"/>
        <v>0.375</v>
      </c>
      <c r="W294" s="35"/>
      <c r="X294" s="128">
        <v>0.16</v>
      </c>
      <c r="Y294" s="128">
        <v>0.02</v>
      </c>
      <c r="Z294" s="128">
        <v>0.01</v>
      </c>
      <c r="AA294" s="128">
        <v>0.01</v>
      </c>
      <c r="AB294" s="128">
        <v>0</v>
      </c>
      <c r="AC294" s="128">
        <v>0</v>
      </c>
      <c r="AD294" s="128">
        <v>0.05</v>
      </c>
      <c r="AE294" s="128">
        <v>0.03</v>
      </c>
      <c r="AF294" s="128">
        <v>0</v>
      </c>
      <c r="AG294" s="128">
        <v>0</v>
      </c>
      <c r="AH294" s="128">
        <v>0</v>
      </c>
      <c r="AI294" s="128">
        <v>0</v>
      </c>
    </row>
    <row r="295" spans="1:35" x14ac:dyDescent="0.2">
      <c r="A295" s="110" t="s">
        <v>891</v>
      </c>
      <c r="B295" t="s">
        <v>902</v>
      </c>
      <c r="C295" t="s">
        <v>904</v>
      </c>
      <c r="D295" s="35">
        <f t="shared" si="84"/>
        <v>0.08</v>
      </c>
      <c r="E295" s="35">
        <f t="shared" si="85"/>
        <v>0</v>
      </c>
      <c r="F295" s="35">
        <f t="shared" si="86"/>
        <v>0</v>
      </c>
      <c r="G295" s="35">
        <f t="shared" si="87"/>
        <v>0.18</v>
      </c>
      <c r="H295" s="35">
        <f t="shared" si="88"/>
        <v>0.01</v>
      </c>
      <c r="I295" s="35">
        <f t="shared" si="89"/>
        <v>0</v>
      </c>
      <c r="J295" s="128">
        <v>0.66</v>
      </c>
      <c r="K295" s="128">
        <v>0.05</v>
      </c>
      <c r="L295" s="128">
        <v>0.02</v>
      </c>
      <c r="M295" s="114">
        <f t="shared" si="74"/>
        <v>1</v>
      </c>
      <c r="N295" s="35">
        <f t="shared" si="75"/>
        <v>73.000000000000014</v>
      </c>
      <c r="O295" s="35">
        <f t="shared" si="76"/>
        <v>19</v>
      </c>
      <c r="P295" s="35">
        <f t="shared" si="77"/>
        <v>8</v>
      </c>
      <c r="Q295" s="35">
        <f t="shared" si="78"/>
        <v>0.12328767123287669</v>
      </c>
      <c r="R295" s="35">
        <f t="shared" si="79"/>
        <v>5.2631578947368418E-2</v>
      </c>
      <c r="S295" s="35">
        <f t="shared" si="80"/>
        <v>5.8823529411764705E-2</v>
      </c>
      <c r="T295" s="35">
        <f t="shared" si="81"/>
        <v>0</v>
      </c>
      <c r="U295" s="35">
        <f t="shared" si="82"/>
        <v>0.10526315789473684</v>
      </c>
      <c r="V295" s="35">
        <f t="shared" si="83"/>
        <v>0.5</v>
      </c>
      <c r="W295" s="35"/>
      <c r="X295" s="128">
        <v>0.16</v>
      </c>
      <c r="Y295" s="128">
        <v>0.02</v>
      </c>
      <c r="Z295" s="128">
        <v>0.01</v>
      </c>
      <c r="AA295" s="128">
        <v>0</v>
      </c>
      <c r="AB295" s="128">
        <v>0</v>
      </c>
      <c r="AC295" s="128">
        <v>0</v>
      </c>
      <c r="AD295" s="128">
        <v>0.04</v>
      </c>
      <c r="AE295" s="128">
        <v>0.04</v>
      </c>
      <c r="AF295" s="128">
        <v>0</v>
      </c>
      <c r="AG295" s="128">
        <v>0</v>
      </c>
      <c r="AH295" s="128">
        <v>0</v>
      </c>
      <c r="AI295" s="128">
        <v>0</v>
      </c>
    </row>
    <row r="296" spans="1:35" x14ac:dyDescent="0.2">
      <c r="A296" s="110" t="s">
        <v>891</v>
      </c>
      <c r="B296" t="s">
        <v>902</v>
      </c>
      <c r="C296" t="s">
        <v>904</v>
      </c>
      <c r="D296" s="35">
        <f t="shared" si="84"/>
        <v>0.09</v>
      </c>
      <c r="E296" s="35">
        <f t="shared" si="85"/>
        <v>0</v>
      </c>
      <c r="F296" s="35">
        <f t="shared" si="86"/>
        <v>0</v>
      </c>
      <c r="G296" s="35">
        <f t="shared" si="87"/>
        <v>0.2</v>
      </c>
      <c r="H296" s="35">
        <f t="shared" si="88"/>
        <v>0.02</v>
      </c>
      <c r="I296" s="35">
        <f t="shared" si="89"/>
        <v>0</v>
      </c>
      <c r="J296" s="128">
        <v>0.62</v>
      </c>
      <c r="K296" s="128">
        <v>0.05</v>
      </c>
      <c r="L296" s="128">
        <v>0.02</v>
      </c>
      <c r="M296" s="114">
        <f t="shared" si="74"/>
        <v>1</v>
      </c>
      <c r="N296" s="35">
        <f t="shared" si="75"/>
        <v>69</v>
      </c>
      <c r="O296" s="35">
        <f t="shared" si="76"/>
        <v>22</v>
      </c>
      <c r="P296" s="35">
        <f t="shared" si="77"/>
        <v>9</v>
      </c>
      <c r="Q296" s="35">
        <f t="shared" si="78"/>
        <v>0.13043478260869565</v>
      </c>
      <c r="R296" s="35">
        <f t="shared" si="79"/>
        <v>9.0909090909090912E-2</v>
      </c>
      <c r="S296" s="35">
        <f t="shared" si="80"/>
        <v>0.10526315789473684</v>
      </c>
      <c r="T296" s="35">
        <f t="shared" si="81"/>
        <v>0</v>
      </c>
      <c r="U296" s="35">
        <f t="shared" si="82"/>
        <v>0.13636363636363635</v>
      </c>
      <c r="V296" s="35">
        <f t="shared" si="83"/>
        <v>0.44444444444444448</v>
      </c>
      <c r="W296" s="35"/>
      <c r="X296" s="128">
        <v>0.17</v>
      </c>
      <c r="Y296" s="128">
        <v>0.03</v>
      </c>
      <c r="Z296" s="128">
        <v>0.02</v>
      </c>
      <c r="AA296" s="128">
        <v>0</v>
      </c>
      <c r="AB296" s="128">
        <v>0</v>
      </c>
      <c r="AC296" s="128">
        <v>0</v>
      </c>
      <c r="AD296" s="128">
        <v>0.05</v>
      </c>
      <c r="AE296" s="128">
        <v>0.04</v>
      </c>
      <c r="AF296" s="128">
        <v>0</v>
      </c>
      <c r="AG296" s="128">
        <v>0</v>
      </c>
      <c r="AH296" s="128">
        <v>0</v>
      </c>
      <c r="AI296" s="128">
        <v>0</v>
      </c>
    </row>
    <row r="297" spans="1:35" x14ac:dyDescent="0.2">
      <c r="A297" s="110" t="s">
        <v>891</v>
      </c>
      <c r="B297" t="s">
        <v>902</v>
      </c>
      <c r="C297" t="s">
        <v>904</v>
      </c>
      <c r="D297" s="35">
        <f t="shared" si="84"/>
        <v>0.08</v>
      </c>
      <c r="E297" s="35">
        <f t="shared" si="85"/>
        <v>0</v>
      </c>
      <c r="F297" s="35">
        <f t="shared" si="86"/>
        <v>0</v>
      </c>
      <c r="G297" s="35">
        <f t="shared" si="87"/>
        <v>0.19</v>
      </c>
      <c r="H297" s="35">
        <f t="shared" si="88"/>
        <v>0.02</v>
      </c>
      <c r="I297" s="35">
        <f t="shared" si="89"/>
        <v>0</v>
      </c>
      <c r="J297" s="128">
        <v>0.63</v>
      </c>
      <c r="K297" s="128">
        <v>0.06</v>
      </c>
      <c r="L297" s="128">
        <v>0.03</v>
      </c>
      <c r="M297" s="114">
        <f t="shared" si="74"/>
        <v>1.01</v>
      </c>
      <c r="N297" s="35">
        <f t="shared" si="75"/>
        <v>71.287128712871279</v>
      </c>
      <c r="O297" s="35">
        <f t="shared" si="76"/>
        <v>20.792079207920793</v>
      </c>
      <c r="P297" s="35">
        <f t="shared" si="77"/>
        <v>7.9207920792079207</v>
      </c>
      <c r="Q297" s="35">
        <f t="shared" si="78"/>
        <v>0.16666666666666666</v>
      </c>
      <c r="R297" s="35">
        <f t="shared" si="79"/>
        <v>9.5238095238095247E-2</v>
      </c>
      <c r="S297" s="35">
        <f t="shared" si="80"/>
        <v>0.10526315789473684</v>
      </c>
      <c r="T297" s="35">
        <f t="shared" si="81"/>
        <v>0</v>
      </c>
      <c r="U297" s="35">
        <f t="shared" si="82"/>
        <v>9.5238095238095247E-2</v>
      </c>
      <c r="V297" s="35">
        <f t="shared" si="83"/>
        <v>0.5</v>
      </c>
      <c r="W297" s="35"/>
      <c r="X297" s="128">
        <v>0.17</v>
      </c>
      <c r="Y297" s="128">
        <v>0.02</v>
      </c>
      <c r="Z297" s="128">
        <v>0.02</v>
      </c>
      <c r="AA297" s="128">
        <v>0</v>
      </c>
      <c r="AB297" s="128">
        <v>0</v>
      </c>
      <c r="AC297" s="128">
        <v>0</v>
      </c>
      <c r="AD297" s="128">
        <v>0.04</v>
      </c>
      <c r="AE297" s="128">
        <v>0.04</v>
      </c>
      <c r="AF297" s="128">
        <v>0</v>
      </c>
      <c r="AG297" s="128">
        <v>0</v>
      </c>
      <c r="AH297" s="128">
        <v>0</v>
      </c>
      <c r="AI297" s="128">
        <v>0</v>
      </c>
    </row>
    <row r="298" spans="1:35" x14ac:dyDescent="0.2">
      <c r="A298" s="110" t="s">
        <v>891</v>
      </c>
      <c r="B298" t="s">
        <v>902</v>
      </c>
      <c r="C298" t="s">
        <v>904</v>
      </c>
      <c r="D298" s="35">
        <f t="shared" si="84"/>
        <v>0.08</v>
      </c>
      <c r="E298" s="35">
        <f t="shared" si="85"/>
        <v>0</v>
      </c>
      <c r="F298" s="35">
        <f t="shared" si="86"/>
        <v>0</v>
      </c>
      <c r="G298" s="35">
        <f t="shared" si="87"/>
        <v>0.19</v>
      </c>
      <c r="H298" s="35">
        <f t="shared" si="88"/>
        <v>0.01</v>
      </c>
      <c r="I298" s="35">
        <f t="shared" si="89"/>
        <v>0</v>
      </c>
      <c r="J298" s="128">
        <v>0.67</v>
      </c>
      <c r="K298" s="128">
        <v>0.05</v>
      </c>
      <c r="L298" s="128">
        <v>0</v>
      </c>
      <c r="M298" s="114">
        <f t="shared" si="74"/>
        <v>1</v>
      </c>
      <c r="N298" s="35">
        <f t="shared" si="75"/>
        <v>72.000000000000014</v>
      </c>
      <c r="O298" s="35">
        <f t="shared" si="76"/>
        <v>20</v>
      </c>
      <c r="P298" s="35">
        <f t="shared" si="77"/>
        <v>8</v>
      </c>
      <c r="Q298" s="35">
        <f t="shared" si="78"/>
        <v>6.9444444444444434E-2</v>
      </c>
      <c r="R298" s="35">
        <f t="shared" si="79"/>
        <v>4.9999999999999996E-2</v>
      </c>
      <c r="S298" s="35">
        <f t="shared" si="80"/>
        <v>5.5555555555555552E-2</v>
      </c>
      <c r="T298" s="35">
        <f t="shared" si="81"/>
        <v>0</v>
      </c>
      <c r="U298" s="35">
        <f t="shared" si="82"/>
        <v>9.9999999999999992E-2</v>
      </c>
      <c r="V298" s="35">
        <f t="shared" si="83"/>
        <v>0.5</v>
      </c>
      <c r="W298" s="35"/>
      <c r="X298" s="128">
        <v>0.17</v>
      </c>
      <c r="Y298" s="128">
        <v>0.02</v>
      </c>
      <c r="Z298" s="128">
        <v>0.01</v>
      </c>
      <c r="AA298" s="128">
        <v>0</v>
      </c>
      <c r="AB298" s="128">
        <v>0</v>
      </c>
      <c r="AC298" s="128">
        <v>0</v>
      </c>
      <c r="AD298" s="128">
        <v>0.04</v>
      </c>
      <c r="AE298" s="128">
        <v>0.04</v>
      </c>
      <c r="AF298" s="128">
        <v>0</v>
      </c>
      <c r="AG298" s="128">
        <v>0</v>
      </c>
      <c r="AH298" s="128">
        <v>0</v>
      </c>
      <c r="AI298" s="128">
        <v>0</v>
      </c>
    </row>
    <row r="299" spans="1:35" x14ac:dyDescent="0.2">
      <c r="A299" s="110" t="s">
        <v>891</v>
      </c>
      <c r="B299" t="s">
        <v>902</v>
      </c>
      <c r="C299" t="s">
        <v>904</v>
      </c>
      <c r="D299" s="35">
        <f t="shared" si="84"/>
        <v>0.09</v>
      </c>
      <c r="E299" s="35">
        <f t="shared" si="85"/>
        <v>0</v>
      </c>
      <c r="F299" s="35">
        <f t="shared" si="86"/>
        <v>0</v>
      </c>
      <c r="G299" s="35">
        <f t="shared" si="87"/>
        <v>0.23</v>
      </c>
      <c r="H299" s="35">
        <f t="shared" si="88"/>
        <v>0.02</v>
      </c>
      <c r="I299" s="35">
        <f t="shared" si="89"/>
        <v>0</v>
      </c>
      <c r="J299" s="128">
        <v>0.59</v>
      </c>
      <c r="K299" s="128">
        <v>0.05</v>
      </c>
      <c r="L299" s="128">
        <v>0.02</v>
      </c>
      <c r="M299" s="114">
        <f t="shared" si="74"/>
        <v>1</v>
      </c>
      <c r="N299" s="35">
        <f t="shared" si="75"/>
        <v>66</v>
      </c>
      <c r="O299" s="35">
        <f t="shared" si="76"/>
        <v>25</v>
      </c>
      <c r="P299" s="35">
        <f t="shared" si="77"/>
        <v>9</v>
      </c>
      <c r="Q299" s="35">
        <f t="shared" si="78"/>
        <v>0.13636363636363635</v>
      </c>
      <c r="R299" s="35">
        <f t="shared" si="79"/>
        <v>0.08</v>
      </c>
      <c r="S299" s="35">
        <f t="shared" si="80"/>
        <v>4.7619047619047616E-2</v>
      </c>
      <c r="T299" s="35">
        <f t="shared" si="81"/>
        <v>0.25</v>
      </c>
      <c r="U299" s="35">
        <f t="shared" si="82"/>
        <v>0.16</v>
      </c>
      <c r="V299" s="35">
        <f t="shared" si="83"/>
        <v>0.44444444444444448</v>
      </c>
      <c r="W299" s="35"/>
      <c r="X299" s="128">
        <v>0.2</v>
      </c>
      <c r="Y299" s="128">
        <v>0.03</v>
      </c>
      <c r="Z299" s="128">
        <v>0.01</v>
      </c>
      <c r="AA299" s="128">
        <v>0.01</v>
      </c>
      <c r="AB299" s="128">
        <v>0</v>
      </c>
      <c r="AC299" s="128">
        <v>0</v>
      </c>
      <c r="AD299" s="128">
        <v>0.05</v>
      </c>
      <c r="AE299" s="128">
        <v>0.04</v>
      </c>
      <c r="AF299" s="128">
        <v>0</v>
      </c>
      <c r="AG299" s="128">
        <v>0</v>
      </c>
      <c r="AH299" s="128">
        <v>0</v>
      </c>
      <c r="AI299" s="128">
        <v>0</v>
      </c>
    </row>
    <row r="300" spans="1:35" x14ac:dyDescent="0.2">
      <c r="A300" s="110" t="s">
        <v>891</v>
      </c>
      <c r="B300" t="s">
        <v>902</v>
      </c>
      <c r="C300" t="s">
        <v>904</v>
      </c>
      <c r="D300" s="35">
        <f t="shared" si="84"/>
        <v>7.0000000000000007E-2</v>
      </c>
      <c r="E300" s="35">
        <f t="shared" si="85"/>
        <v>0</v>
      </c>
      <c r="F300" s="35">
        <f t="shared" si="86"/>
        <v>0</v>
      </c>
      <c r="G300" s="35">
        <f t="shared" si="87"/>
        <v>0.19999999999999998</v>
      </c>
      <c r="H300" s="35">
        <f t="shared" si="88"/>
        <v>0.01</v>
      </c>
      <c r="I300" s="35">
        <f t="shared" si="89"/>
        <v>0</v>
      </c>
      <c r="J300" s="128">
        <v>0.64</v>
      </c>
      <c r="K300" s="128">
        <v>0.05</v>
      </c>
      <c r="L300" s="128">
        <v>0.02</v>
      </c>
      <c r="M300" s="114">
        <f t="shared" si="74"/>
        <v>0.9900000000000001</v>
      </c>
      <c r="N300" s="35">
        <f t="shared" si="75"/>
        <v>71.717171717171709</v>
      </c>
      <c r="O300" s="35">
        <f t="shared" si="76"/>
        <v>21.212121212121211</v>
      </c>
      <c r="P300" s="35">
        <f t="shared" si="77"/>
        <v>7.0707070707070701</v>
      </c>
      <c r="Q300" s="35">
        <f t="shared" si="78"/>
        <v>0.12676056338028166</v>
      </c>
      <c r="R300" s="35">
        <f t="shared" si="79"/>
        <v>4.7619047619047623E-2</v>
      </c>
      <c r="S300" s="35">
        <f t="shared" si="80"/>
        <v>5.2631578947368418E-2</v>
      </c>
      <c r="T300" s="35">
        <f t="shared" si="81"/>
        <v>0</v>
      </c>
      <c r="U300" s="35">
        <f t="shared" si="82"/>
        <v>9.5238095238095247E-2</v>
      </c>
      <c r="V300" s="35">
        <f t="shared" si="83"/>
        <v>0.42857142857142849</v>
      </c>
      <c r="W300" s="35"/>
      <c r="X300" s="128">
        <v>0.18</v>
      </c>
      <c r="Y300" s="128">
        <v>0.02</v>
      </c>
      <c r="Z300" s="128">
        <v>0.01</v>
      </c>
      <c r="AA300" s="128">
        <v>0</v>
      </c>
      <c r="AB300" s="128">
        <v>0</v>
      </c>
      <c r="AC300" s="128">
        <v>0</v>
      </c>
      <c r="AD300" s="128">
        <v>0.04</v>
      </c>
      <c r="AE300" s="128">
        <v>0.03</v>
      </c>
      <c r="AF300" s="128">
        <v>0</v>
      </c>
      <c r="AG300" s="128">
        <v>0</v>
      </c>
      <c r="AH300" s="128">
        <v>0</v>
      </c>
      <c r="AI300" s="128">
        <v>0</v>
      </c>
    </row>
    <row r="301" spans="1:35" x14ac:dyDescent="0.2">
      <c r="A301" s="110" t="s">
        <v>891</v>
      </c>
      <c r="B301" t="s">
        <v>902</v>
      </c>
      <c r="C301" t="s">
        <v>904</v>
      </c>
      <c r="D301" s="35">
        <f t="shared" si="84"/>
        <v>0.08</v>
      </c>
      <c r="E301" s="35">
        <f t="shared" si="85"/>
        <v>0</v>
      </c>
      <c r="F301" s="35">
        <f t="shared" si="86"/>
        <v>0</v>
      </c>
      <c r="G301" s="35">
        <f t="shared" si="87"/>
        <v>0.21</v>
      </c>
      <c r="H301" s="35">
        <f t="shared" si="88"/>
        <v>0.03</v>
      </c>
      <c r="I301" s="35">
        <f t="shared" si="89"/>
        <v>0</v>
      </c>
      <c r="J301" s="128">
        <v>0.61</v>
      </c>
      <c r="K301" s="128">
        <v>0.05</v>
      </c>
      <c r="L301" s="128">
        <v>0.03</v>
      </c>
      <c r="M301" s="114">
        <f t="shared" si="74"/>
        <v>1.01</v>
      </c>
      <c r="N301" s="35">
        <f t="shared" si="75"/>
        <v>68.316831683168317</v>
      </c>
      <c r="O301" s="35">
        <f t="shared" si="76"/>
        <v>23.762376237623762</v>
      </c>
      <c r="P301" s="35">
        <f t="shared" si="77"/>
        <v>7.9207920792079207</v>
      </c>
      <c r="Q301" s="35">
        <f t="shared" si="78"/>
        <v>0.15942028985507245</v>
      </c>
      <c r="R301" s="35">
        <f t="shared" si="79"/>
        <v>0.125</v>
      </c>
      <c r="S301" s="35">
        <f t="shared" si="80"/>
        <v>0.1</v>
      </c>
      <c r="T301" s="35">
        <f t="shared" si="81"/>
        <v>0.25</v>
      </c>
      <c r="U301" s="35">
        <f t="shared" si="82"/>
        <v>0.16666666666666669</v>
      </c>
      <c r="V301" s="35">
        <f t="shared" si="83"/>
        <v>0.375</v>
      </c>
      <c r="W301" s="35"/>
      <c r="X301" s="128">
        <v>0.18</v>
      </c>
      <c r="Y301" s="128">
        <v>0.03</v>
      </c>
      <c r="Z301" s="128">
        <v>0.02</v>
      </c>
      <c r="AA301" s="128">
        <v>0.01</v>
      </c>
      <c r="AB301" s="128">
        <v>0</v>
      </c>
      <c r="AC301" s="128">
        <v>0</v>
      </c>
      <c r="AD301" s="128">
        <v>0.05</v>
      </c>
      <c r="AE301" s="128">
        <v>0.03</v>
      </c>
      <c r="AF301" s="128">
        <v>0</v>
      </c>
      <c r="AG301" s="128">
        <v>0</v>
      </c>
      <c r="AH301" s="128">
        <v>0</v>
      </c>
      <c r="AI301" s="128">
        <v>0</v>
      </c>
    </row>
    <row r="302" spans="1:35" x14ac:dyDescent="0.2">
      <c r="A302" s="110" t="s">
        <v>891</v>
      </c>
      <c r="B302" t="s">
        <v>902</v>
      </c>
      <c r="C302" t="s">
        <v>904</v>
      </c>
      <c r="D302" s="35">
        <f t="shared" si="84"/>
        <v>0.08</v>
      </c>
      <c r="E302" s="35">
        <f t="shared" si="85"/>
        <v>0</v>
      </c>
      <c r="F302" s="35">
        <f t="shared" si="86"/>
        <v>0</v>
      </c>
      <c r="G302" s="35">
        <f t="shared" si="87"/>
        <v>0.22</v>
      </c>
      <c r="H302" s="35">
        <f t="shared" si="88"/>
        <v>0.01</v>
      </c>
      <c r="I302" s="35">
        <f t="shared" si="89"/>
        <v>0</v>
      </c>
      <c r="J302" s="128">
        <v>0.6</v>
      </c>
      <c r="K302" s="128">
        <v>0.05</v>
      </c>
      <c r="L302" s="128">
        <v>0.02</v>
      </c>
      <c r="M302" s="114">
        <f t="shared" si="74"/>
        <v>0.98</v>
      </c>
      <c r="N302" s="35">
        <f t="shared" si="75"/>
        <v>68.367346938775526</v>
      </c>
      <c r="O302" s="35">
        <f t="shared" si="76"/>
        <v>23.469387755102041</v>
      </c>
      <c r="P302" s="35">
        <f t="shared" si="77"/>
        <v>8.1632653061224492</v>
      </c>
      <c r="Q302" s="35">
        <f t="shared" si="78"/>
        <v>0.13432835820895522</v>
      </c>
      <c r="R302" s="35">
        <f t="shared" si="79"/>
        <v>4.3478260869565216E-2</v>
      </c>
      <c r="S302" s="35">
        <f t="shared" si="80"/>
        <v>4.9999999999999996E-2</v>
      </c>
      <c r="T302" s="35">
        <f t="shared" si="81"/>
        <v>0</v>
      </c>
      <c r="U302" s="35">
        <f t="shared" si="82"/>
        <v>0.13043478260869565</v>
      </c>
      <c r="V302" s="35">
        <f t="shared" si="83"/>
        <v>0.375</v>
      </c>
      <c r="W302" s="35"/>
      <c r="X302" s="128">
        <v>0.19</v>
      </c>
      <c r="Y302" s="128">
        <v>0.03</v>
      </c>
      <c r="Z302" s="128">
        <v>0.01</v>
      </c>
      <c r="AA302" s="128">
        <v>0</v>
      </c>
      <c r="AB302" s="128">
        <v>0</v>
      </c>
      <c r="AC302" s="128">
        <v>0</v>
      </c>
      <c r="AD302" s="128">
        <v>0.05</v>
      </c>
      <c r="AE302" s="128">
        <v>0.03</v>
      </c>
      <c r="AF302" s="128">
        <v>0</v>
      </c>
      <c r="AG302" s="128">
        <v>0</v>
      </c>
      <c r="AH302" s="128">
        <v>0</v>
      </c>
      <c r="AI302" s="128">
        <v>0</v>
      </c>
    </row>
    <row r="303" spans="1:35" x14ac:dyDescent="0.2">
      <c r="A303" s="110" t="s">
        <v>891</v>
      </c>
      <c r="B303" t="s">
        <v>902</v>
      </c>
      <c r="C303" t="s">
        <v>904</v>
      </c>
      <c r="D303" s="35">
        <f t="shared" si="84"/>
        <v>0.09</v>
      </c>
      <c r="E303" s="35">
        <f t="shared" si="85"/>
        <v>0</v>
      </c>
      <c r="F303" s="35">
        <f t="shared" si="86"/>
        <v>0</v>
      </c>
      <c r="G303" s="35">
        <f t="shared" si="87"/>
        <v>0.21</v>
      </c>
      <c r="H303" s="35">
        <f t="shared" si="88"/>
        <v>0.01</v>
      </c>
      <c r="I303" s="35">
        <f t="shared" si="89"/>
        <v>0</v>
      </c>
      <c r="J303" s="128">
        <v>0.63</v>
      </c>
      <c r="K303" s="128">
        <v>0.05</v>
      </c>
      <c r="L303" s="128">
        <v>0.02</v>
      </c>
      <c r="M303" s="114">
        <f t="shared" si="74"/>
        <v>1.01</v>
      </c>
      <c r="N303" s="35">
        <f t="shared" si="75"/>
        <v>69.306930693069319</v>
      </c>
      <c r="O303" s="35">
        <f t="shared" si="76"/>
        <v>21.782178217821784</v>
      </c>
      <c r="P303" s="35">
        <f t="shared" si="77"/>
        <v>8.9108910891089099</v>
      </c>
      <c r="Q303" s="35">
        <f t="shared" si="78"/>
        <v>0.12857142857142856</v>
      </c>
      <c r="R303" s="35">
        <f t="shared" si="79"/>
        <v>4.5454545454545456E-2</v>
      </c>
      <c r="S303" s="35">
        <f t="shared" si="80"/>
        <v>5.2631578947368418E-2</v>
      </c>
      <c r="T303" s="35">
        <f t="shared" si="81"/>
        <v>0</v>
      </c>
      <c r="U303" s="35">
        <f t="shared" si="82"/>
        <v>0.13636363636363635</v>
      </c>
      <c r="V303" s="35">
        <f t="shared" si="83"/>
        <v>0.44444444444444448</v>
      </c>
      <c r="W303" s="35"/>
      <c r="X303" s="128">
        <v>0.18</v>
      </c>
      <c r="Y303" s="128">
        <v>0.03</v>
      </c>
      <c r="Z303" s="128">
        <v>0.01</v>
      </c>
      <c r="AA303" s="128">
        <v>0</v>
      </c>
      <c r="AB303" s="128">
        <v>0</v>
      </c>
      <c r="AC303" s="128">
        <v>0</v>
      </c>
      <c r="AD303" s="128">
        <v>0.05</v>
      </c>
      <c r="AE303" s="128">
        <v>0.04</v>
      </c>
      <c r="AF303" s="128">
        <v>0</v>
      </c>
      <c r="AG303" s="128">
        <v>0</v>
      </c>
      <c r="AH303" s="128">
        <v>0</v>
      </c>
      <c r="AI303" s="128">
        <v>0</v>
      </c>
    </row>
    <row r="304" spans="1:35" x14ac:dyDescent="0.2">
      <c r="A304" s="110" t="s">
        <v>891</v>
      </c>
      <c r="B304" t="s">
        <v>902</v>
      </c>
      <c r="C304" t="s">
        <v>904</v>
      </c>
      <c r="D304" s="35">
        <f t="shared" si="84"/>
        <v>0.08</v>
      </c>
      <c r="E304" s="35">
        <f t="shared" si="85"/>
        <v>0</v>
      </c>
      <c r="F304" s="35">
        <f t="shared" si="86"/>
        <v>0</v>
      </c>
      <c r="G304" s="35">
        <f t="shared" si="87"/>
        <v>0.18</v>
      </c>
      <c r="H304" s="35">
        <f t="shared" si="88"/>
        <v>0</v>
      </c>
      <c r="I304" s="35">
        <f t="shared" si="89"/>
        <v>0</v>
      </c>
      <c r="J304" s="128">
        <v>0.67</v>
      </c>
      <c r="K304" s="128">
        <v>0.06</v>
      </c>
      <c r="L304" s="128">
        <v>0</v>
      </c>
      <c r="M304" s="114">
        <f t="shared" si="74"/>
        <v>0.99</v>
      </c>
      <c r="N304" s="35">
        <f t="shared" si="75"/>
        <v>73.73737373737373</v>
      </c>
      <c r="O304" s="35">
        <f t="shared" si="76"/>
        <v>18.181818181818183</v>
      </c>
      <c r="P304" s="35">
        <f t="shared" si="77"/>
        <v>8.0808080808080813</v>
      </c>
      <c r="Q304" s="35">
        <f t="shared" si="78"/>
        <v>8.2191780821917804E-2</v>
      </c>
      <c r="R304" s="35">
        <f t="shared" si="79"/>
        <v>0</v>
      </c>
      <c r="S304" s="35">
        <f t="shared" si="80"/>
        <v>0</v>
      </c>
      <c r="T304" s="35"/>
      <c r="U304" s="35">
        <f t="shared" si="82"/>
        <v>0</v>
      </c>
      <c r="V304" s="35">
        <f t="shared" si="83"/>
        <v>0.5</v>
      </c>
      <c r="W304" s="35"/>
      <c r="X304" s="128">
        <v>0.18</v>
      </c>
      <c r="Y304" s="128">
        <v>0</v>
      </c>
      <c r="Z304" s="128">
        <v>0</v>
      </c>
      <c r="AA304" s="128">
        <v>0</v>
      </c>
      <c r="AB304" s="128">
        <v>0</v>
      </c>
      <c r="AC304" s="128">
        <v>0</v>
      </c>
      <c r="AD304" s="128">
        <v>0.04</v>
      </c>
      <c r="AE304" s="128">
        <v>0.04</v>
      </c>
      <c r="AF304" s="128">
        <v>0</v>
      </c>
      <c r="AG304" s="128">
        <v>0</v>
      </c>
      <c r="AH304" s="128">
        <v>0</v>
      </c>
      <c r="AI304" s="128">
        <v>0</v>
      </c>
    </row>
    <row r="305" spans="1:35" x14ac:dyDescent="0.2">
      <c r="A305" s="110" t="s">
        <v>891</v>
      </c>
      <c r="B305" t="s">
        <v>902</v>
      </c>
      <c r="C305" t="s">
        <v>904</v>
      </c>
      <c r="D305" s="35">
        <f t="shared" si="84"/>
        <v>0.11000000000000001</v>
      </c>
      <c r="E305" s="35">
        <f t="shared" si="85"/>
        <v>0</v>
      </c>
      <c r="F305" s="35">
        <f t="shared" si="86"/>
        <v>0</v>
      </c>
      <c r="G305" s="35">
        <f t="shared" si="87"/>
        <v>0.18</v>
      </c>
      <c r="H305" s="35">
        <f t="shared" si="88"/>
        <v>0.03</v>
      </c>
      <c r="I305" s="35">
        <f t="shared" si="89"/>
        <v>0.01</v>
      </c>
      <c r="J305" s="128">
        <v>0.59</v>
      </c>
      <c r="K305" s="128">
        <v>0.06</v>
      </c>
      <c r="L305" s="128">
        <v>0.03</v>
      </c>
      <c r="M305" s="114">
        <f t="shared" si="74"/>
        <v>1.01</v>
      </c>
      <c r="N305" s="35">
        <f t="shared" si="75"/>
        <v>67.326732673267315</v>
      </c>
      <c r="O305" s="35">
        <f t="shared" si="76"/>
        <v>21.782178217821784</v>
      </c>
      <c r="P305" s="35">
        <f t="shared" si="77"/>
        <v>10.891089108910892</v>
      </c>
      <c r="Q305" s="35">
        <f t="shared" si="78"/>
        <v>0.17647058823529413</v>
      </c>
      <c r="R305" s="35">
        <f t="shared" si="79"/>
        <v>0.22727272727272729</v>
      </c>
      <c r="S305" s="35">
        <f t="shared" si="80"/>
        <v>0.22222222222222224</v>
      </c>
      <c r="T305" s="35">
        <f t="shared" si="81"/>
        <v>0.25</v>
      </c>
      <c r="U305" s="35">
        <f t="shared" si="82"/>
        <v>0.18181818181818182</v>
      </c>
      <c r="V305" s="35">
        <f t="shared" si="83"/>
        <v>0.36363636363636359</v>
      </c>
      <c r="W305" s="35"/>
      <c r="X305" s="128">
        <v>0.15</v>
      </c>
      <c r="Y305" s="128">
        <v>0.03</v>
      </c>
      <c r="Z305" s="128">
        <v>0.02</v>
      </c>
      <c r="AA305" s="128">
        <v>0.01</v>
      </c>
      <c r="AB305" s="128">
        <v>0.01</v>
      </c>
      <c r="AC305" s="128">
        <v>0</v>
      </c>
      <c r="AD305" s="128">
        <v>7.0000000000000007E-2</v>
      </c>
      <c r="AE305" s="128">
        <v>0.04</v>
      </c>
      <c r="AF305" s="128">
        <v>0</v>
      </c>
      <c r="AG305" s="128">
        <v>0</v>
      </c>
      <c r="AH305" s="128">
        <v>0</v>
      </c>
      <c r="AI305" s="128">
        <v>0</v>
      </c>
    </row>
    <row r="306" spans="1:35" x14ac:dyDescent="0.2">
      <c r="A306" s="110" t="s">
        <v>891</v>
      </c>
      <c r="B306" t="s">
        <v>902</v>
      </c>
      <c r="C306" t="s">
        <v>904</v>
      </c>
      <c r="D306" s="35">
        <f t="shared" si="84"/>
        <v>0.08</v>
      </c>
      <c r="E306" s="35">
        <f t="shared" si="85"/>
        <v>0</v>
      </c>
      <c r="F306" s="35">
        <f t="shared" si="86"/>
        <v>0</v>
      </c>
      <c r="G306" s="35">
        <f t="shared" si="87"/>
        <v>0.19</v>
      </c>
      <c r="H306" s="35">
        <f t="shared" si="88"/>
        <v>0.03</v>
      </c>
      <c r="I306" s="35">
        <f t="shared" si="89"/>
        <v>0</v>
      </c>
      <c r="J306" s="128">
        <v>0.6</v>
      </c>
      <c r="K306" s="128">
        <v>0.06</v>
      </c>
      <c r="L306" s="128">
        <v>0.03</v>
      </c>
      <c r="M306" s="114">
        <f t="shared" si="74"/>
        <v>0.99</v>
      </c>
      <c r="N306" s="35">
        <f t="shared" si="75"/>
        <v>69.696969696969688</v>
      </c>
      <c r="O306" s="35">
        <f t="shared" si="76"/>
        <v>22.222222222222225</v>
      </c>
      <c r="P306" s="35">
        <f t="shared" si="77"/>
        <v>8.0808080808080813</v>
      </c>
      <c r="Q306" s="35">
        <f t="shared" si="78"/>
        <v>0.17391304347826086</v>
      </c>
      <c r="R306" s="35">
        <f t="shared" si="79"/>
        <v>0.13636363636363635</v>
      </c>
      <c r="S306" s="35">
        <f t="shared" si="80"/>
        <v>0.10526315789473684</v>
      </c>
      <c r="T306" s="35">
        <f t="shared" si="81"/>
        <v>0.33333333333333337</v>
      </c>
      <c r="U306" s="35">
        <f t="shared" si="82"/>
        <v>0.13636363636363635</v>
      </c>
      <c r="V306" s="35">
        <f t="shared" si="83"/>
        <v>0.375</v>
      </c>
      <c r="W306" s="35"/>
      <c r="X306" s="128">
        <v>0.17</v>
      </c>
      <c r="Y306" s="128">
        <v>0.02</v>
      </c>
      <c r="Z306" s="128">
        <v>0.02</v>
      </c>
      <c r="AA306" s="128">
        <v>0.01</v>
      </c>
      <c r="AB306" s="128">
        <v>0</v>
      </c>
      <c r="AC306" s="128">
        <v>0</v>
      </c>
      <c r="AD306" s="128">
        <v>0.05</v>
      </c>
      <c r="AE306" s="128">
        <v>0.03</v>
      </c>
      <c r="AF306" s="128">
        <v>0</v>
      </c>
      <c r="AG306" s="128">
        <v>0</v>
      </c>
      <c r="AH306" s="128">
        <v>0</v>
      </c>
      <c r="AI306" s="128">
        <v>0</v>
      </c>
    </row>
    <row r="307" spans="1:35" x14ac:dyDescent="0.2">
      <c r="A307" s="110" t="s">
        <v>891</v>
      </c>
      <c r="B307" t="s">
        <v>902</v>
      </c>
      <c r="C307" t="s">
        <v>904</v>
      </c>
      <c r="D307" s="35">
        <f t="shared" si="84"/>
        <v>0.08</v>
      </c>
      <c r="E307" s="35">
        <f t="shared" si="85"/>
        <v>0</v>
      </c>
      <c r="F307" s="35">
        <f t="shared" si="86"/>
        <v>0</v>
      </c>
      <c r="G307" s="35">
        <f t="shared" si="87"/>
        <v>0.19</v>
      </c>
      <c r="H307" s="35">
        <f t="shared" si="88"/>
        <v>0.03</v>
      </c>
      <c r="I307" s="35">
        <f t="shared" si="89"/>
        <v>0.01</v>
      </c>
      <c r="J307" s="128">
        <v>0.62</v>
      </c>
      <c r="K307" s="128">
        <v>0.06</v>
      </c>
      <c r="L307" s="128">
        <v>0.03</v>
      </c>
      <c r="M307" s="114">
        <f t="shared" si="74"/>
        <v>1.02</v>
      </c>
      <c r="N307" s="35">
        <f t="shared" si="75"/>
        <v>69.607843137254903</v>
      </c>
      <c r="O307" s="35">
        <f t="shared" si="76"/>
        <v>22.549019607843139</v>
      </c>
      <c r="P307" s="35">
        <f t="shared" si="77"/>
        <v>7.8431372549019605</v>
      </c>
      <c r="Q307" s="35">
        <f t="shared" si="78"/>
        <v>0.16901408450704225</v>
      </c>
      <c r="R307" s="35">
        <f t="shared" si="79"/>
        <v>0.21739130434782608</v>
      </c>
      <c r="S307" s="35">
        <f t="shared" si="80"/>
        <v>0.21052631578947367</v>
      </c>
      <c r="T307" s="35">
        <f t="shared" si="81"/>
        <v>0.25</v>
      </c>
      <c r="U307" s="35">
        <f t="shared" si="82"/>
        <v>0.17391304347826086</v>
      </c>
      <c r="V307" s="35">
        <f t="shared" si="83"/>
        <v>0.375</v>
      </c>
      <c r="W307" s="35"/>
      <c r="X307" s="128">
        <v>0.16</v>
      </c>
      <c r="Y307" s="128">
        <v>0.03</v>
      </c>
      <c r="Z307" s="128">
        <v>0.02</v>
      </c>
      <c r="AA307" s="128">
        <v>0.01</v>
      </c>
      <c r="AB307" s="128">
        <v>0.01</v>
      </c>
      <c r="AC307" s="128">
        <v>0</v>
      </c>
      <c r="AD307" s="128">
        <v>0.05</v>
      </c>
      <c r="AE307" s="128">
        <v>0.03</v>
      </c>
      <c r="AF307" s="128">
        <v>0</v>
      </c>
      <c r="AG307" s="128">
        <v>0</v>
      </c>
      <c r="AH307" s="128">
        <v>0</v>
      </c>
      <c r="AI307" s="128">
        <v>0</v>
      </c>
    </row>
    <row r="308" spans="1:35" x14ac:dyDescent="0.2">
      <c r="A308" s="110" t="s">
        <v>891</v>
      </c>
      <c r="B308" t="s">
        <v>902</v>
      </c>
      <c r="C308" t="s">
        <v>904</v>
      </c>
      <c r="D308" s="35">
        <f t="shared" si="84"/>
        <v>0.12</v>
      </c>
      <c r="E308" s="35">
        <f t="shared" si="85"/>
        <v>0</v>
      </c>
      <c r="F308" s="35">
        <f t="shared" si="86"/>
        <v>0</v>
      </c>
      <c r="G308" s="35">
        <f t="shared" si="87"/>
        <v>0.22</v>
      </c>
      <c r="H308" s="35">
        <f t="shared" si="88"/>
        <v>0.03</v>
      </c>
      <c r="I308" s="35">
        <f t="shared" si="89"/>
        <v>0.01</v>
      </c>
      <c r="J308" s="128">
        <v>0.54</v>
      </c>
      <c r="K308" s="128">
        <v>0.05</v>
      </c>
      <c r="L308" s="128">
        <v>0.03</v>
      </c>
      <c r="M308" s="114">
        <f t="shared" si="74"/>
        <v>1</v>
      </c>
      <c r="N308" s="35">
        <f t="shared" si="75"/>
        <v>62.000000000000014</v>
      </c>
      <c r="O308" s="35">
        <f t="shared" si="76"/>
        <v>26</v>
      </c>
      <c r="P308" s="35">
        <f t="shared" si="77"/>
        <v>12</v>
      </c>
      <c r="Q308" s="35">
        <f t="shared" si="78"/>
        <v>0.17741935483870966</v>
      </c>
      <c r="R308" s="35">
        <f t="shared" si="79"/>
        <v>0.19230769230769232</v>
      </c>
      <c r="S308" s="35">
        <f t="shared" si="80"/>
        <v>0.18181818181818182</v>
      </c>
      <c r="T308" s="35">
        <f t="shared" si="81"/>
        <v>0.25</v>
      </c>
      <c r="U308" s="35">
        <f t="shared" si="82"/>
        <v>0.15384615384615385</v>
      </c>
      <c r="V308" s="35">
        <f t="shared" si="83"/>
        <v>0.33333333333333337</v>
      </c>
      <c r="W308" s="35"/>
      <c r="X308" s="128">
        <v>0.19</v>
      </c>
      <c r="Y308" s="128">
        <v>0.03</v>
      </c>
      <c r="Z308" s="128">
        <v>0.02</v>
      </c>
      <c r="AA308" s="128">
        <v>0.01</v>
      </c>
      <c r="AB308" s="128">
        <v>0.01</v>
      </c>
      <c r="AC308" s="128">
        <v>0</v>
      </c>
      <c r="AD308" s="128">
        <v>0.08</v>
      </c>
      <c r="AE308" s="128">
        <v>0.04</v>
      </c>
      <c r="AF308" s="128">
        <v>0</v>
      </c>
      <c r="AG308" s="128">
        <v>0</v>
      </c>
      <c r="AH308" s="128">
        <v>0</v>
      </c>
      <c r="AI308" s="128">
        <v>0</v>
      </c>
    </row>
    <row r="309" spans="1:35" x14ac:dyDescent="0.2">
      <c r="A309" s="110" t="s">
        <v>891</v>
      </c>
      <c r="B309" t="s">
        <v>902</v>
      </c>
      <c r="C309" t="s">
        <v>904</v>
      </c>
      <c r="D309" s="35">
        <f t="shared" si="84"/>
        <v>0.12</v>
      </c>
      <c r="E309" s="35">
        <f t="shared" si="85"/>
        <v>0</v>
      </c>
      <c r="F309" s="35">
        <f t="shared" si="86"/>
        <v>0</v>
      </c>
      <c r="G309" s="35">
        <f t="shared" si="87"/>
        <v>0.22</v>
      </c>
      <c r="H309" s="35">
        <f t="shared" si="88"/>
        <v>0.03</v>
      </c>
      <c r="I309" s="35">
        <f t="shared" si="89"/>
        <v>0.01</v>
      </c>
      <c r="J309" s="128">
        <v>0.52</v>
      </c>
      <c r="K309" s="128">
        <v>0.06</v>
      </c>
      <c r="L309" s="128">
        <v>0.03</v>
      </c>
      <c r="M309" s="114">
        <f t="shared" si="74"/>
        <v>0.99</v>
      </c>
      <c r="N309" s="35">
        <f t="shared" si="75"/>
        <v>61.616161616161627</v>
      </c>
      <c r="O309" s="35">
        <f t="shared" si="76"/>
        <v>26.262626262626267</v>
      </c>
      <c r="P309" s="35">
        <f t="shared" si="77"/>
        <v>12.121212121212121</v>
      </c>
      <c r="Q309" s="35">
        <f t="shared" si="78"/>
        <v>0.1967213114754098</v>
      </c>
      <c r="R309" s="35">
        <f t="shared" si="79"/>
        <v>0.19230769230769232</v>
      </c>
      <c r="S309" s="35">
        <f t="shared" si="80"/>
        <v>0.18181818181818182</v>
      </c>
      <c r="T309" s="35">
        <f t="shared" si="81"/>
        <v>0.25</v>
      </c>
      <c r="U309" s="35">
        <f t="shared" si="82"/>
        <v>0.15384615384615385</v>
      </c>
      <c r="V309" s="35">
        <f t="shared" si="83"/>
        <v>0.33333333333333337</v>
      </c>
      <c r="W309" s="35"/>
      <c r="X309" s="128">
        <v>0.19</v>
      </c>
      <c r="Y309" s="128">
        <v>0.03</v>
      </c>
      <c r="Z309" s="128">
        <v>0.02</v>
      </c>
      <c r="AA309" s="128">
        <v>0.01</v>
      </c>
      <c r="AB309" s="128">
        <v>0.01</v>
      </c>
      <c r="AC309" s="128">
        <v>0</v>
      </c>
      <c r="AD309" s="128">
        <v>0.08</v>
      </c>
      <c r="AE309" s="128">
        <v>0.04</v>
      </c>
      <c r="AF309" s="128">
        <v>0</v>
      </c>
      <c r="AG309" s="128">
        <v>0</v>
      </c>
      <c r="AH309" s="128">
        <v>0</v>
      </c>
      <c r="AI309" s="128">
        <v>0</v>
      </c>
    </row>
    <row r="310" spans="1:35" x14ac:dyDescent="0.2">
      <c r="A310" s="110" t="s">
        <v>891</v>
      </c>
      <c r="B310" t="s">
        <v>902</v>
      </c>
      <c r="C310" t="s">
        <v>904</v>
      </c>
      <c r="D310" s="35">
        <f t="shared" si="84"/>
        <v>0</v>
      </c>
      <c r="E310" s="35">
        <f t="shared" si="85"/>
        <v>0</v>
      </c>
      <c r="F310" s="35">
        <f t="shared" si="86"/>
        <v>0</v>
      </c>
      <c r="G310" s="35">
        <f t="shared" si="87"/>
        <v>0.17</v>
      </c>
      <c r="H310" s="35">
        <f t="shared" si="88"/>
        <v>0</v>
      </c>
      <c r="I310" s="35">
        <f t="shared" si="89"/>
        <v>0</v>
      </c>
      <c r="J310" s="128">
        <v>0.83</v>
      </c>
      <c r="K310" s="128">
        <v>0</v>
      </c>
      <c r="L310" s="128">
        <v>0</v>
      </c>
      <c r="M310" s="114">
        <f t="shared" si="74"/>
        <v>1</v>
      </c>
      <c r="N310" s="35">
        <f t="shared" si="75"/>
        <v>83</v>
      </c>
      <c r="O310" s="35">
        <f t="shared" si="76"/>
        <v>17</v>
      </c>
      <c r="P310" s="35">
        <f t="shared" si="77"/>
        <v>0</v>
      </c>
      <c r="Q310" s="35">
        <f t="shared" si="78"/>
        <v>0</v>
      </c>
      <c r="R310" s="35">
        <f t="shared" si="79"/>
        <v>0</v>
      </c>
      <c r="S310" s="35">
        <f t="shared" si="80"/>
        <v>0</v>
      </c>
      <c r="T310" s="35"/>
      <c r="U310" s="35">
        <f t="shared" si="82"/>
        <v>0</v>
      </c>
      <c r="V310" s="35"/>
      <c r="W310" s="35"/>
      <c r="X310" s="128">
        <v>0.17</v>
      </c>
      <c r="Y310" s="128">
        <v>0</v>
      </c>
      <c r="Z310" s="128">
        <v>0</v>
      </c>
      <c r="AA310" s="128">
        <v>0</v>
      </c>
      <c r="AB310" s="128">
        <v>0</v>
      </c>
      <c r="AC310" s="128">
        <v>0</v>
      </c>
      <c r="AD310" s="128">
        <v>0</v>
      </c>
      <c r="AE310" s="128">
        <v>0</v>
      </c>
      <c r="AF310" s="128">
        <v>0</v>
      </c>
      <c r="AG310" s="128">
        <v>0</v>
      </c>
      <c r="AH310" s="128">
        <v>0</v>
      </c>
      <c r="AI310" s="128">
        <v>0</v>
      </c>
    </row>
    <row r="311" spans="1:35" x14ac:dyDescent="0.2">
      <c r="A311" s="110" t="s">
        <v>891</v>
      </c>
      <c r="B311" t="s">
        <v>902</v>
      </c>
      <c r="C311" t="s">
        <v>904</v>
      </c>
      <c r="D311" s="35">
        <f t="shared" si="84"/>
        <v>7.0000000000000007E-2</v>
      </c>
      <c r="E311" s="35">
        <f t="shared" si="85"/>
        <v>0</v>
      </c>
      <c r="F311" s="35">
        <f t="shared" si="86"/>
        <v>0</v>
      </c>
      <c r="G311" s="35">
        <f t="shared" si="87"/>
        <v>0.19</v>
      </c>
      <c r="H311" s="35">
        <f t="shared" si="88"/>
        <v>0.02</v>
      </c>
      <c r="I311" s="35">
        <f t="shared" si="89"/>
        <v>0</v>
      </c>
      <c r="J311" s="128">
        <v>0.64</v>
      </c>
      <c r="K311" s="128">
        <v>0.05</v>
      </c>
      <c r="L311" s="128">
        <v>0.02</v>
      </c>
      <c r="M311" s="114">
        <f t="shared" si="74"/>
        <v>0.9900000000000001</v>
      </c>
      <c r="N311" s="35">
        <f t="shared" si="75"/>
        <v>71.717171717171709</v>
      </c>
      <c r="O311" s="35">
        <f t="shared" si="76"/>
        <v>21.212121212121211</v>
      </c>
      <c r="P311" s="35">
        <f t="shared" si="77"/>
        <v>7.0707070707070701</v>
      </c>
      <c r="Q311" s="35">
        <f t="shared" si="78"/>
        <v>0.12676056338028166</v>
      </c>
      <c r="R311" s="35">
        <f t="shared" si="79"/>
        <v>9.5238095238095247E-2</v>
      </c>
      <c r="S311" s="35">
        <f t="shared" si="80"/>
        <v>5.8823529411764705E-2</v>
      </c>
      <c r="T311" s="35">
        <f t="shared" si="81"/>
        <v>0.25</v>
      </c>
      <c r="U311" s="35">
        <f t="shared" si="82"/>
        <v>0.19047619047619049</v>
      </c>
      <c r="V311" s="35">
        <f t="shared" si="83"/>
        <v>0.42857142857142849</v>
      </c>
      <c r="W311" s="35"/>
      <c r="X311" s="128">
        <v>0.16</v>
      </c>
      <c r="Y311" s="128">
        <v>0.03</v>
      </c>
      <c r="Z311" s="128">
        <v>0.01</v>
      </c>
      <c r="AA311" s="128">
        <v>0.01</v>
      </c>
      <c r="AB311" s="128">
        <v>0</v>
      </c>
      <c r="AC311" s="128">
        <v>0</v>
      </c>
      <c r="AD311" s="128">
        <v>0.04</v>
      </c>
      <c r="AE311" s="128">
        <v>0.03</v>
      </c>
      <c r="AF311" s="128">
        <v>0</v>
      </c>
      <c r="AG311" s="128">
        <v>0</v>
      </c>
      <c r="AH311" s="128">
        <v>0</v>
      </c>
      <c r="AI311" s="128">
        <v>0</v>
      </c>
    </row>
    <row r="312" spans="1:35" x14ac:dyDescent="0.2">
      <c r="A312" s="110" t="s">
        <v>891</v>
      </c>
      <c r="B312" t="s">
        <v>902</v>
      </c>
      <c r="C312" t="s">
        <v>904</v>
      </c>
      <c r="D312" s="35">
        <f t="shared" si="84"/>
        <v>0</v>
      </c>
      <c r="E312" s="35">
        <f t="shared" si="85"/>
        <v>0</v>
      </c>
      <c r="F312" s="35">
        <f t="shared" si="86"/>
        <v>0</v>
      </c>
      <c r="G312" s="35">
        <f t="shared" si="87"/>
        <v>0.15</v>
      </c>
      <c r="H312" s="35">
        <f t="shared" si="88"/>
        <v>0</v>
      </c>
      <c r="I312" s="35">
        <f t="shared" si="89"/>
        <v>0</v>
      </c>
      <c r="J312" s="128">
        <v>0.85</v>
      </c>
      <c r="K312" s="128">
        <v>0</v>
      </c>
      <c r="L312" s="128">
        <v>0</v>
      </c>
      <c r="M312" s="114">
        <f t="shared" si="74"/>
        <v>1</v>
      </c>
      <c r="N312" s="35">
        <f t="shared" si="75"/>
        <v>85</v>
      </c>
      <c r="O312" s="35">
        <f t="shared" si="76"/>
        <v>15</v>
      </c>
      <c r="P312" s="35">
        <f t="shared" si="77"/>
        <v>0</v>
      </c>
      <c r="Q312" s="35">
        <f t="shared" si="78"/>
        <v>0</v>
      </c>
      <c r="R312" s="35">
        <f t="shared" si="79"/>
        <v>0</v>
      </c>
      <c r="S312" s="35">
        <f t="shared" si="80"/>
        <v>0</v>
      </c>
      <c r="T312" s="35"/>
      <c r="U312" s="35">
        <f t="shared" si="82"/>
        <v>0</v>
      </c>
      <c r="V312" s="35"/>
      <c r="W312" s="35"/>
      <c r="X312" s="128">
        <v>0.15</v>
      </c>
      <c r="Y312" s="128">
        <v>0</v>
      </c>
      <c r="Z312" s="128">
        <v>0</v>
      </c>
      <c r="AA312" s="128">
        <v>0</v>
      </c>
      <c r="AB312" s="128">
        <v>0</v>
      </c>
      <c r="AC312" s="128">
        <v>0</v>
      </c>
      <c r="AD312" s="128">
        <v>0</v>
      </c>
      <c r="AE312" s="128">
        <v>0</v>
      </c>
      <c r="AF312" s="128">
        <v>0</v>
      </c>
      <c r="AG312" s="128">
        <v>0</v>
      </c>
      <c r="AH312" s="128">
        <v>0</v>
      </c>
      <c r="AI312" s="128">
        <v>0</v>
      </c>
    </row>
    <row r="313" spans="1:35" x14ac:dyDescent="0.2">
      <c r="A313" s="110" t="s">
        <v>891</v>
      </c>
      <c r="B313" t="s">
        <v>902</v>
      </c>
      <c r="C313" t="s">
        <v>904</v>
      </c>
      <c r="D313" s="35">
        <f t="shared" si="84"/>
        <v>7.0000000000000007E-2</v>
      </c>
      <c r="E313" s="35">
        <f t="shared" si="85"/>
        <v>0</v>
      </c>
      <c r="F313" s="35">
        <f t="shared" si="86"/>
        <v>0</v>
      </c>
      <c r="G313" s="35">
        <f t="shared" si="87"/>
        <v>0.16</v>
      </c>
      <c r="H313" s="35">
        <f t="shared" si="88"/>
        <v>0.02</v>
      </c>
      <c r="I313" s="35">
        <f t="shared" si="89"/>
        <v>0</v>
      </c>
      <c r="J313" s="128">
        <v>0.67</v>
      </c>
      <c r="K313" s="128">
        <v>0.05</v>
      </c>
      <c r="L313" s="128">
        <v>0.03</v>
      </c>
      <c r="M313" s="114">
        <f t="shared" si="74"/>
        <v>1</v>
      </c>
      <c r="N313" s="35">
        <f t="shared" si="75"/>
        <v>75.000000000000014</v>
      </c>
      <c r="O313" s="35">
        <f t="shared" si="76"/>
        <v>18</v>
      </c>
      <c r="P313" s="35">
        <f t="shared" si="77"/>
        <v>7.0000000000000009</v>
      </c>
      <c r="Q313" s="35">
        <f t="shared" si="78"/>
        <v>0.14666666666666664</v>
      </c>
      <c r="R313" s="35">
        <f t="shared" si="79"/>
        <v>0.11111111111111112</v>
      </c>
      <c r="S313" s="35">
        <f t="shared" si="80"/>
        <v>6.6666666666666652E-2</v>
      </c>
      <c r="T313" s="35">
        <f t="shared" si="81"/>
        <v>0.33333333333333337</v>
      </c>
      <c r="U313" s="35">
        <f t="shared" si="82"/>
        <v>0.16666666666666666</v>
      </c>
      <c r="V313" s="35">
        <f t="shared" si="83"/>
        <v>0.42857142857142849</v>
      </c>
      <c r="W313" s="35"/>
      <c r="X313" s="128">
        <v>0.14000000000000001</v>
      </c>
      <c r="Y313" s="128">
        <v>0.02</v>
      </c>
      <c r="Z313" s="128">
        <v>0.01</v>
      </c>
      <c r="AA313" s="128">
        <v>0.01</v>
      </c>
      <c r="AB313" s="128">
        <v>0</v>
      </c>
      <c r="AC313" s="128">
        <v>0</v>
      </c>
      <c r="AD313" s="128">
        <v>0.04</v>
      </c>
      <c r="AE313" s="128">
        <v>0.03</v>
      </c>
      <c r="AF313" s="128">
        <v>0</v>
      </c>
      <c r="AG313" s="128">
        <v>0</v>
      </c>
      <c r="AH313" s="128">
        <v>0</v>
      </c>
      <c r="AI313" s="128">
        <v>0</v>
      </c>
    </row>
    <row r="314" spans="1:35" x14ac:dyDescent="0.2">
      <c r="A314" s="110" t="s">
        <v>891</v>
      </c>
      <c r="B314" t="s">
        <v>902</v>
      </c>
      <c r="C314" t="s">
        <v>904</v>
      </c>
      <c r="D314" s="35">
        <f t="shared" si="84"/>
        <v>0.1</v>
      </c>
      <c r="E314" s="35">
        <f t="shared" si="85"/>
        <v>0</v>
      </c>
      <c r="F314" s="35">
        <f t="shared" si="86"/>
        <v>0</v>
      </c>
      <c r="G314" s="35">
        <f t="shared" si="87"/>
        <v>0.2</v>
      </c>
      <c r="H314" s="35">
        <f t="shared" si="88"/>
        <v>0.03</v>
      </c>
      <c r="I314" s="35">
        <f t="shared" si="89"/>
        <v>0.01</v>
      </c>
      <c r="J314" s="128">
        <v>0.57999999999999996</v>
      </c>
      <c r="K314" s="128">
        <v>0.06</v>
      </c>
      <c r="L314" s="128">
        <v>0.03</v>
      </c>
      <c r="M314" s="114">
        <f t="shared" si="74"/>
        <v>1.01</v>
      </c>
      <c r="N314" s="35">
        <f t="shared" si="75"/>
        <v>66.336633663366328</v>
      </c>
      <c r="O314" s="35">
        <f t="shared" si="76"/>
        <v>23.762376237623766</v>
      </c>
      <c r="P314" s="35">
        <f t="shared" si="77"/>
        <v>9.9009900990099009</v>
      </c>
      <c r="Q314" s="35">
        <f t="shared" si="78"/>
        <v>0.17910447761194032</v>
      </c>
      <c r="R314" s="35">
        <f t="shared" si="79"/>
        <v>0.20833333333333331</v>
      </c>
      <c r="S314" s="35">
        <f t="shared" si="80"/>
        <v>0.19999999999999998</v>
      </c>
      <c r="T314" s="35">
        <f t="shared" si="81"/>
        <v>0.25</v>
      </c>
      <c r="U314" s="35">
        <f t="shared" si="82"/>
        <v>0.16666666666666666</v>
      </c>
      <c r="V314" s="35">
        <f t="shared" si="83"/>
        <v>0.39999999999999997</v>
      </c>
      <c r="W314" s="35"/>
      <c r="X314" s="128">
        <v>0.17</v>
      </c>
      <c r="Y314" s="128">
        <v>0.03</v>
      </c>
      <c r="Z314" s="128">
        <v>0.02</v>
      </c>
      <c r="AA314" s="128">
        <v>0.01</v>
      </c>
      <c r="AB314" s="128">
        <v>0.01</v>
      </c>
      <c r="AC314" s="128">
        <v>0</v>
      </c>
      <c r="AD314" s="128">
        <v>0.06</v>
      </c>
      <c r="AE314" s="128">
        <v>0.04</v>
      </c>
      <c r="AF314" s="128">
        <v>0</v>
      </c>
      <c r="AG314" s="128">
        <v>0</v>
      </c>
      <c r="AH314" s="128">
        <v>0</v>
      </c>
      <c r="AI314" s="128">
        <v>0</v>
      </c>
    </row>
    <row r="315" spans="1:35" x14ac:dyDescent="0.2">
      <c r="A315" s="110" t="s">
        <v>891</v>
      </c>
      <c r="B315" t="s">
        <v>902</v>
      </c>
      <c r="C315" t="s">
        <v>904</v>
      </c>
      <c r="D315" s="35">
        <f t="shared" si="84"/>
        <v>0.06</v>
      </c>
      <c r="E315" s="35">
        <f t="shared" si="85"/>
        <v>0</v>
      </c>
      <c r="F315" s="35">
        <f t="shared" si="86"/>
        <v>0</v>
      </c>
      <c r="G315" s="35">
        <f t="shared" si="87"/>
        <v>0.19</v>
      </c>
      <c r="H315" s="35">
        <f t="shared" si="88"/>
        <v>0.03</v>
      </c>
      <c r="I315" s="35">
        <f t="shared" si="89"/>
        <v>0</v>
      </c>
      <c r="J315" s="128">
        <v>0.63</v>
      </c>
      <c r="K315" s="128">
        <v>0.06</v>
      </c>
      <c r="L315" s="128">
        <v>0.03</v>
      </c>
      <c r="M315" s="114">
        <f t="shared" si="74"/>
        <v>1</v>
      </c>
      <c r="N315" s="35">
        <f t="shared" si="75"/>
        <v>72</v>
      </c>
      <c r="O315" s="35">
        <f t="shared" si="76"/>
        <v>22</v>
      </c>
      <c r="P315" s="35">
        <f t="shared" si="77"/>
        <v>6</v>
      </c>
      <c r="Q315" s="35">
        <f t="shared" si="78"/>
        <v>0.16666666666666666</v>
      </c>
      <c r="R315" s="35">
        <f t="shared" si="79"/>
        <v>0.13636363636363635</v>
      </c>
      <c r="S315" s="35">
        <f t="shared" si="80"/>
        <v>0.11111111111111112</v>
      </c>
      <c r="T315" s="35">
        <f t="shared" si="81"/>
        <v>0.25</v>
      </c>
      <c r="U315" s="35">
        <f t="shared" si="82"/>
        <v>0.18181818181818182</v>
      </c>
      <c r="V315" s="35">
        <f t="shared" si="83"/>
        <v>0.33333333333333337</v>
      </c>
      <c r="W315" s="35"/>
      <c r="X315" s="128">
        <v>0.16</v>
      </c>
      <c r="Y315" s="128">
        <v>0.03</v>
      </c>
      <c r="Z315" s="128">
        <v>0.02</v>
      </c>
      <c r="AA315" s="128">
        <v>0.01</v>
      </c>
      <c r="AB315" s="128">
        <v>0</v>
      </c>
      <c r="AC315" s="128">
        <v>0</v>
      </c>
      <c r="AD315" s="128">
        <v>0.04</v>
      </c>
      <c r="AE315" s="128">
        <v>0.02</v>
      </c>
      <c r="AF315" s="128">
        <v>0</v>
      </c>
      <c r="AG315" s="128">
        <v>0</v>
      </c>
      <c r="AH315" s="128">
        <v>0</v>
      </c>
      <c r="AI315" s="128">
        <v>0</v>
      </c>
    </row>
    <row r="316" spans="1:35" x14ac:dyDescent="0.2">
      <c r="A316" s="110" t="s">
        <v>891</v>
      </c>
      <c r="B316" t="s">
        <v>902</v>
      </c>
      <c r="C316" t="s">
        <v>904</v>
      </c>
      <c r="D316" s="35">
        <f t="shared" si="84"/>
        <v>7.0000000000000007E-2</v>
      </c>
      <c r="E316" s="35">
        <f t="shared" si="85"/>
        <v>0</v>
      </c>
      <c r="F316" s="35">
        <f t="shared" si="86"/>
        <v>0</v>
      </c>
      <c r="G316" s="35">
        <f t="shared" si="87"/>
        <v>0.15</v>
      </c>
      <c r="H316" s="35">
        <f t="shared" si="88"/>
        <v>0.02</v>
      </c>
      <c r="I316" s="35">
        <f t="shared" si="89"/>
        <v>0</v>
      </c>
      <c r="J316" s="128">
        <v>0.66</v>
      </c>
      <c r="K316" s="128">
        <v>0.05</v>
      </c>
      <c r="L316" s="128">
        <v>0.03</v>
      </c>
      <c r="M316" s="114">
        <f t="shared" si="74"/>
        <v>0.98000000000000009</v>
      </c>
      <c r="N316" s="35">
        <f t="shared" si="75"/>
        <v>75.510204081632665</v>
      </c>
      <c r="O316" s="35">
        <f t="shared" si="76"/>
        <v>17.3469387755102</v>
      </c>
      <c r="P316" s="35">
        <f t="shared" si="77"/>
        <v>7.1428571428571423</v>
      </c>
      <c r="Q316" s="35">
        <f t="shared" si="78"/>
        <v>0.14864864864864863</v>
      </c>
      <c r="R316" s="35">
        <f t="shared" si="79"/>
        <v>0.11764705882352942</v>
      </c>
      <c r="S316" s="35">
        <f t="shared" si="80"/>
        <v>7.1428571428571425E-2</v>
      </c>
      <c r="T316" s="35">
        <f t="shared" si="81"/>
        <v>0.33333333333333337</v>
      </c>
      <c r="U316" s="35">
        <f t="shared" si="82"/>
        <v>0.17647058823529413</v>
      </c>
      <c r="V316" s="35">
        <f t="shared" si="83"/>
        <v>0.42857142857142849</v>
      </c>
      <c r="W316" s="35"/>
      <c r="X316" s="128">
        <v>0.13</v>
      </c>
      <c r="Y316" s="128">
        <v>0.02</v>
      </c>
      <c r="Z316" s="128">
        <v>0.01</v>
      </c>
      <c r="AA316" s="128">
        <v>0.01</v>
      </c>
      <c r="AB316" s="128">
        <v>0</v>
      </c>
      <c r="AC316" s="128">
        <v>0</v>
      </c>
      <c r="AD316" s="128">
        <v>0.04</v>
      </c>
      <c r="AE316" s="128">
        <v>0.03</v>
      </c>
      <c r="AF316" s="128">
        <v>0</v>
      </c>
      <c r="AG316" s="128">
        <v>0</v>
      </c>
      <c r="AH316" s="128">
        <v>0</v>
      </c>
      <c r="AI316" s="128">
        <v>0</v>
      </c>
    </row>
    <row r="317" spans="1:35" x14ac:dyDescent="0.2">
      <c r="A317" s="110" t="s">
        <v>891</v>
      </c>
      <c r="B317" t="s">
        <v>902</v>
      </c>
      <c r="C317" t="s">
        <v>904</v>
      </c>
      <c r="D317" s="35">
        <f t="shared" si="84"/>
        <v>0.12</v>
      </c>
      <c r="E317" s="35">
        <f t="shared" si="85"/>
        <v>0</v>
      </c>
      <c r="F317" s="35">
        <f t="shared" si="86"/>
        <v>0</v>
      </c>
      <c r="G317" s="35">
        <f t="shared" si="87"/>
        <v>0.16</v>
      </c>
      <c r="H317" s="35">
        <f t="shared" si="88"/>
        <v>0.03</v>
      </c>
      <c r="I317" s="35">
        <f t="shared" si="89"/>
        <v>0.01</v>
      </c>
      <c r="J317" s="128">
        <v>0.57999999999999996</v>
      </c>
      <c r="K317" s="128">
        <v>0.06</v>
      </c>
      <c r="L317" s="128">
        <v>0.03</v>
      </c>
      <c r="M317" s="114">
        <f t="shared" si="74"/>
        <v>0.99</v>
      </c>
      <c r="N317" s="35">
        <f t="shared" si="75"/>
        <v>67.676767676767668</v>
      </c>
      <c r="O317" s="35">
        <f t="shared" si="76"/>
        <v>20.202020202020204</v>
      </c>
      <c r="P317" s="35">
        <f t="shared" si="77"/>
        <v>12.121212121212121</v>
      </c>
      <c r="Q317" s="35">
        <f t="shared" si="78"/>
        <v>0.17910447761194032</v>
      </c>
      <c r="R317" s="35">
        <f t="shared" si="79"/>
        <v>0.25</v>
      </c>
      <c r="S317" s="35">
        <f t="shared" si="80"/>
        <v>0.23529411764705882</v>
      </c>
      <c r="T317" s="35">
        <f t="shared" si="81"/>
        <v>0.33333333333333337</v>
      </c>
      <c r="U317" s="35">
        <f t="shared" si="82"/>
        <v>0.15</v>
      </c>
      <c r="V317" s="35">
        <f t="shared" si="83"/>
        <v>0.33333333333333337</v>
      </c>
      <c r="W317" s="35"/>
      <c r="X317" s="128">
        <v>0.14000000000000001</v>
      </c>
      <c r="Y317" s="128">
        <v>0.02</v>
      </c>
      <c r="Z317" s="128">
        <v>0.02</v>
      </c>
      <c r="AA317" s="128">
        <v>0.01</v>
      </c>
      <c r="AB317" s="128">
        <v>0.01</v>
      </c>
      <c r="AC317" s="128">
        <v>0</v>
      </c>
      <c r="AD317" s="128">
        <v>0.08</v>
      </c>
      <c r="AE317" s="128">
        <v>0.04</v>
      </c>
      <c r="AF317" s="128">
        <v>0</v>
      </c>
      <c r="AG317" s="128">
        <v>0</v>
      </c>
      <c r="AH317" s="128">
        <v>0</v>
      </c>
      <c r="AI317" s="128">
        <v>0</v>
      </c>
    </row>
    <row r="318" spans="1:35" x14ac:dyDescent="0.2">
      <c r="A318" s="110" t="s">
        <v>891</v>
      </c>
      <c r="B318" t="s">
        <v>902</v>
      </c>
      <c r="C318" t="s">
        <v>904</v>
      </c>
      <c r="D318" s="35">
        <f t="shared" si="84"/>
        <v>0.08</v>
      </c>
      <c r="E318" s="35">
        <f t="shared" si="85"/>
        <v>0</v>
      </c>
      <c r="F318" s="35">
        <f t="shared" si="86"/>
        <v>0</v>
      </c>
      <c r="G318" s="35">
        <f t="shared" si="87"/>
        <v>0.17</v>
      </c>
      <c r="H318" s="35">
        <f t="shared" si="88"/>
        <v>0.02</v>
      </c>
      <c r="I318" s="35">
        <f t="shared" si="89"/>
        <v>0</v>
      </c>
      <c r="J318" s="128">
        <v>0.65</v>
      </c>
      <c r="K318" s="128">
        <v>0.05</v>
      </c>
      <c r="L318" s="128">
        <v>0.02</v>
      </c>
      <c r="M318" s="114">
        <f t="shared" si="74"/>
        <v>0.9900000000000001</v>
      </c>
      <c r="N318" s="35">
        <f t="shared" si="75"/>
        <v>72.727272727272734</v>
      </c>
      <c r="O318" s="35">
        <f t="shared" si="76"/>
        <v>19.19191919191919</v>
      </c>
      <c r="P318" s="35">
        <f t="shared" si="77"/>
        <v>8.0808080808080796</v>
      </c>
      <c r="Q318" s="35">
        <f t="shared" si="78"/>
        <v>0.12499999999999999</v>
      </c>
      <c r="R318" s="35">
        <f t="shared" si="79"/>
        <v>0.10526315789473684</v>
      </c>
      <c r="S318" s="35">
        <f t="shared" si="80"/>
        <v>0.125</v>
      </c>
      <c r="T318" s="35">
        <f t="shared" si="81"/>
        <v>0</v>
      </c>
      <c r="U318" s="35">
        <f t="shared" si="82"/>
        <v>0.15789473684210525</v>
      </c>
      <c r="V318" s="35">
        <f t="shared" si="83"/>
        <v>0.375</v>
      </c>
      <c r="W318" s="35"/>
      <c r="X318" s="128">
        <v>0.14000000000000001</v>
      </c>
      <c r="Y318" s="128">
        <v>0.03</v>
      </c>
      <c r="Z318" s="128">
        <v>0.02</v>
      </c>
      <c r="AA318" s="128">
        <v>0</v>
      </c>
      <c r="AB318" s="128">
        <v>0</v>
      </c>
      <c r="AC318" s="128">
        <v>0</v>
      </c>
      <c r="AD318" s="128">
        <v>0.05</v>
      </c>
      <c r="AE318" s="128">
        <v>0.03</v>
      </c>
      <c r="AF318" s="128">
        <v>0</v>
      </c>
      <c r="AG318" s="128">
        <v>0</v>
      </c>
      <c r="AH318" s="128">
        <v>0</v>
      </c>
      <c r="AI318" s="128">
        <v>0</v>
      </c>
    </row>
    <row r="319" spans="1:35" x14ac:dyDescent="0.2">
      <c r="A319" s="110" t="s">
        <v>891</v>
      </c>
      <c r="B319" t="s">
        <v>902</v>
      </c>
      <c r="C319" t="s">
        <v>904</v>
      </c>
      <c r="D319" s="35">
        <f t="shared" si="84"/>
        <v>0.1</v>
      </c>
      <c r="E319" s="35">
        <f t="shared" si="85"/>
        <v>0</v>
      </c>
      <c r="F319" s="35">
        <f t="shared" si="86"/>
        <v>0</v>
      </c>
      <c r="G319" s="35">
        <f t="shared" si="87"/>
        <v>0.19</v>
      </c>
      <c r="H319" s="35">
        <f t="shared" si="88"/>
        <v>0.03</v>
      </c>
      <c r="I319" s="35">
        <f t="shared" si="89"/>
        <v>0.01</v>
      </c>
      <c r="J319" s="128">
        <v>0.56999999999999995</v>
      </c>
      <c r="K319" s="128">
        <v>0.06</v>
      </c>
      <c r="L319" s="128">
        <v>0.03</v>
      </c>
      <c r="M319" s="114">
        <f t="shared" si="74"/>
        <v>0.99</v>
      </c>
      <c r="N319" s="35">
        <f t="shared" si="75"/>
        <v>66.666666666666657</v>
      </c>
      <c r="O319" s="35">
        <f t="shared" si="76"/>
        <v>23.232323232323235</v>
      </c>
      <c r="P319" s="35">
        <f t="shared" si="77"/>
        <v>10.101010101010102</v>
      </c>
      <c r="Q319" s="35">
        <f t="shared" si="78"/>
        <v>0.18181818181818182</v>
      </c>
      <c r="R319" s="35">
        <f t="shared" si="79"/>
        <v>0.21739130434782608</v>
      </c>
      <c r="S319" s="35">
        <f t="shared" si="80"/>
        <v>0.21052631578947367</v>
      </c>
      <c r="T319" s="35">
        <f t="shared" si="81"/>
        <v>0.25</v>
      </c>
      <c r="U319" s="35">
        <f t="shared" si="82"/>
        <v>0.17391304347826086</v>
      </c>
      <c r="V319" s="35">
        <f t="shared" si="83"/>
        <v>0.3</v>
      </c>
      <c r="W319" s="35"/>
      <c r="X319" s="128">
        <v>0.16</v>
      </c>
      <c r="Y319" s="128">
        <v>0.03</v>
      </c>
      <c r="Z319" s="128">
        <v>0.02</v>
      </c>
      <c r="AA319" s="128">
        <v>0.01</v>
      </c>
      <c r="AB319" s="128">
        <v>0.01</v>
      </c>
      <c r="AC319" s="128">
        <v>0</v>
      </c>
      <c r="AD319" s="128">
        <v>7.0000000000000007E-2</v>
      </c>
      <c r="AE319" s="128">
        <v>0.03</v>
      </c>
      <c r="AF319" s="128">
        <v>0</v>
      </c>
      <c r="AG319" s="128">
        <v>0</v>
      </c>
      <c r="AH319" s="128">
        <v>0</v>
      </c>
      <c r="AI319" s="128">
        <v>0</v>
      </c>
    </row>
    <row r="320" spans="1:35" x14ac:dyDescent="0.2">
      <c r="A320" s="110" t="s">
        <v>891</v>
      </c>
      <c r="B320" t="s">
        <v>902</v>
      </c>
      <c r="C320" t="s">
        <v>904</v>
      </c>
      <c r="D320" s="35">
        <f t="shared" si="84"/>
        <v>0.08</v>
      </c>
      <c r="E320" s="35">
        <f t="shared" si="85"/>
        <v>0</v>
      </c>
      <c r="F320" s="35">
        <f t="shared" si="86"/>
        <v>0</v>
      </c>
      <c r="G320" s="35">
        <f t="shared" si="87"/>
        <v>0.16</v>
      </c>
      <c r="H320" s="35">
        <f t="shared" si="88"/>
        <v>0.03</v>
      </c>
      <c r="I320" s="35">
        <f t="shared" si="89"/>
        <v>0.01</v>
      </c>
      <c r="J320" s="128">
        <v>0.64</v>
      </c>
      <c r="K320" s="128">
        <v>0.06</v>
      </c>
      <c r="L320" s="128">
        <v>0.03</v>
      </c>
      <c r="M320" s="114">
        <f t="shared" si="74"/>
        <v>1.01</v>
      </c>
      <c r="N320" s="35">
        <f t="shared" si="75"/>
        <v>72.277227722772281</v>
      </c>
      <c r="O320" s="35">
        <f t="shared" si="76"/>
        <v>19.801980198019802</v>
      </c>
      <c r="P320" s="35">
        <f t="shared" si="77"/>
        <v>7.9207920792079207</v>
      </c>
      <c r="Q320" s="35">
        <f t="shared" si="78"/>
        <v>0.16438356164383561</v>
      </c>
      <c r="R320" s="35">
        <f t="shared" si="79"/>
        <v>0.25</v>
      </c>
      <c r="S320" s="35">
        <f t="shared" si="80"/>
        <v>0.25</v>
      </c>
      <c r="T320" s="35">
        <f t="shared" si="81"/>
        <v>0.25</v>
      </c>
      <c r="U320" s="35">
        <f t="shared" si="82"/>
        <v>0.19999999999999998</v>
      </c>
      <c r="V320" s="35">
        <f t="shared" si="83"/>
        <v>0.375</v>
      </c>
      <c r="W320" s="35"/>
      <c r="X320" s="128">
        <v>0.13</v>
      </c>
      <c r="Y320" s="128">
        <v>0.03</v>
      </c>
      <c r="Z320" s="128">
        <v>0.02</v>
      </c>
      <c r="AA320" s="128">
        <v>0.01</v>
      </c>
      <c r="AB320" s="128">
        <v>0.01</v>
      </c>
      <c r="AC320" s="128">
        <v>0</v>
      </c>
      <c r="AD320" s="128">
        <v>0.05</v>
      </c>
      <c r="AE320" s="128">
        <v>0.03</v>
      </c>
      <c r="AF320" s="128">
        <v>0</v>
      </c>
      <c r="AG320" s="128">
        <v>0</v>
      </c>
      <c r="AH320" s="128">
        <v>0</v>
      </c>
      <c r="AI320" s="128">
        <v>0</v>
      </c>
    </row>
    <row r="321" spans="1:35" x14ac:dyDescent="0.2">
      <c r="A321" s="110" t="s">
        <v>891</v>
      </c>
      <c r="B321" t="s">
        <v>902</v>
      </c>
      <c r="C321" t="s">
        <v>904</v>
      </c>
      <c r="D321" s="35">
        <f t="shared" si="84"/>
        <v>7.0000000000000007E-2</v>
      </c>
      <c r="E321" s="35">
        <f t="shared" si="85"/>
        <v>0</v>
      </c>
      <c r="F321" s="35">
        <f t="shared" si="86"/>
        <v>0</v>
      </c>
      <c r="G321" s="35">
        <f t="shared" si="87"/>
        <v>0.14000000000000001</v>
      </c>
      <c r="H321" s="35">
        <f t="shared" si="88"/>
        <v>0.02</v>
      </c>
      <c r="I321" s="35">
        <f t="shared" si="89"/>
        <v>0</v>
      </c>
      <c r="J321" s="128">
        <v>0.68</v>
      </c>
      <c r="K321" s="128">
        <v>0.06</v>
      </c>
      <c r="L321" s="128">
        <v>0.02</v>
      </c>
      <c r="M321" s="114">
        <f t="shared" si="74"/>
        <v>0.99</v>
      </c>
      <c r="N321" s="35">
        <f t="shared" si="75"/>
        <v>76.767676767676775</v>
      </c>
      <c r="O321" s="35">
        <f t="shared" si="76"/>
        <v>16.161616161616163</v>
      </c>
      <c r="P321" s="35">
        <f t="shared" si="77"/>
        <v>7.0707070707070718</v>
      </c>
      <c r="Q321" s="35">
        <f t="shared" si="78"/>
        <v>0.13157894736842105</v>
      </c>
      <c r="R321" s="35">
        <f t="shared" si="79"/>
        <v>0.125</v>
      </c>
      <c r="S321" s="35">
        <f t="shared" si="80"/>
        <v>8.3333333333333343E-2</v>
      </c>
      <c r="T321" s="35">
        <f t="shared" si="81"/>
        <v>0.25</v>
      </c>
      <c r="U321" s="35">
        <f t="shared" si="82"/>
        <v>0.25</v>
      </c>
      <c r="V321" s="35">
        <f t="shared" si="83"/>
        <v>0.42857142857142849</v>
      </c>
      <c r="W321" s="35"/>
      <c r="X321" s="128">
        <v>0.11</v>
      </c>
      <c r="Y321" s="128">
        <v>0.03</v>
      </c>
      <c r="Z321" s="128">
        <v>0.01</v>
      </c>
      <c r="AA321" s="128">
        <v>0.01</v>
      </c>
      <c r="AB321" s="128">
        <v>0</v>
      </c>
      <c r="AC321" s="128">
        <v>0</v>
      </c>
      <c r="AD321" s="128">
        <v>0.04</v>
      </c>
      <c r="AE321" s="128">
        <v>0.03</v>
      </c>
      <c r="AF321" s="128">
        <v>0</v>
      </c>
      <c r="AG321" s="128">
        <v>0</v>
      </c>
      <c r="AH321" s="128">
        <v>0</v>
      </c>
      <c r="AI321" s="128">
        <v>0</v>
      </c>
    </row>
    <row r="322" spans="1:35" x14ac:dyDescent="0.2">
      <c r="A322" s="110" t="s">
        <v>891</v>
      </c>
      <c r="B322" t="s">
        <v>902</v>
      </c>
      <c r="C322" t="s">
        <v>904</v>
      </c>
      <c r="D322" s="35">
        <f t="shared" si="84"/>
        <v>7.0000000000000007E-2</v>
      </c>
      <c r="E322" s="35">
        <f t="shared" si="85"/>
        <v>0</v>
      </c>
      <c r="F322" s="35">
        <f t="shared" si="86"/>
        <v>0</v>
      </c>
      <c r="G322" s="35">
        <f t="shared" si="87"/>
        <v>0.15</v>
      </c>
      <c r="H322" s="35">
        <f t="shared" si="88"/>
        <v>0.02</v>
      </c>
      <c r="I322" s="35">
        <f t="shared" si="89"/>
        <v>0</v>
      </c>
      <c r="J322" s="128">
        <v>0.67</v>
      </c>
      <c r="K322" s="128">
        <v>0.06</v>
      </c>
      <c r="L322" s="128">
        <v>0.02</v>
      </c>
      <c r="M322" s="114">
        <f t="shared" si="74"/>
        <v>0.99</v>
      </c>
      <c r="N322" s="35">
        <f t="shared" si="75"/>
        <v>75.757575757575751</v>
      </c>
      <c r="O322" s="35">
        <f t="shared" si="76"/>
        <v>17.171717171717169</v>
      </c>
      <c r="P322" s="35">
        <f t="shared" si="77"/>
        <v>7.0707070707070718</v>
      </c>
      <c r="Q322" s="35">
        <f t="shared" si="78"/>
        <v>0.13333333333333333</v>
      </c>
      <c r="R322" s="35">
        <f t="shared" si="79"/>
        <v>0.11764705882352942</v>
      </c>
      <c r="S322" s="35">
        <f t="shared" si="80"/>
        <v>7.6923076923076927E-2</v>
      </c>
      <c r="T322" s="35">
        <f t="shared" si="81"/>
        <v>0.25</v>
      </c>
      <c r="U322" s="35">
        <f t="shared" si="82"/>
        <v>0.23529411764705885</v>
      </c>
      <c r="V322" s="35">
        <f t="shared" si="83"/>
        <v>0.2857142857142857</v>
      </c>
      <c r="W322" s="35"/>
      <c r="X322" s="128">
        <v>0.12</v>
      </c>
      <c r="Y322" s="128">
        <v>0.03</v>
      </c>
      <c r="Z322" s="128">
        <v>0.01</v>
      </c>
      <c r="AA322" s="128">
        <v>0.01</v>
      </c>
      <c r="AB322" s="128">
        <v>0</v>
      </c>
      <c r="AC322" s="128">
        <v>0</v>
      </c>
      <c r="AD322" s="128">
        <v>0.05</v>
      </c>
      <c r="AE322" s="128">
        <v>0.02</v>
      </c>
      <c r="AF322" s="128">
        <v>0</v>
      </c>
      <c r="AG322" s="128">
        <v>0</v>
      </c>
      <c r="AH322" s="128">
        <v>0</v>
      </c>
      <c r="AI322" s="128">
        <v>0</v>
      </c>
    </row>
    <row r="323" spans="1:35" x14ac:dyDescent="0.2">
      <c r="A323" s="110" t="s">
        <v>891</v>
      </c>
      <c r="B323" t="s">
        <v>902</v>
      </c>
      <c r="C323" t="s">
        <v>904</v>
      </c>
      <c r="D323" s="35">
        <f t="shared" si="84"/>
        <v>0.06</v>
      </c>
      <c r="E323" s="35">
        <f t="shared" si="85"/>
        <v>0</v>
      </c>
      <c r="F323" s="35">
        <f t="shared" si="86"/>
        <v>0</v>
      </c>
      <c r="G323" s="35">
        <f t="shared" si="87"/>
        <v>0.12</v>
      </c>
      <c r="H323" s="35">
        <f t="shared" si="88"/>
        <v>0.02</v>
      </c>
      <c r="I323" s="35">
        <f t="shared" si="89"/>
        <v>0</v>
      </c>
      <c r="J323" s="128">
        <v>0.7</v>
      </c>
      <c r="K323" s="128">
        <v>0.06</v>
      </c>
      <c r="L323" s="128">
        <v>0.02</v>
      </c>
      <c r="M323" s="114">
        <f t="shared" ref="M323:M386" si="90">SUM(D323:L323)</f>
        <v>0.98</v>
      </c>
      <c r="N323" s="35">
        <f t="shared" ref="N323:N386" si="91">SUM(J323:L323)/$M323*100</f>
        <v>79.591836734693871</v>
      </c>
      <c r="O323" s="35">
        <f t="shared" ref="O323:O386" si="92">SUM(G323:I323)/$M323*100</f>
        <v>14.285714285714285</v>
      </c>
      <c r="P323" s="35">
        <f t="shared" ref="P323:P386" si="93">SUM(D323:F323)/$M323*100</f>
        <v>6.1224489795918364</v>
      </c>
      <c r="Q323" s="35">
        <f t="shared" ref="Q323:Q386" si="94">(K323+(2*L323))/SUM(J323:L323)</f>
        <v>0.12820512820512822</v>
      </c>
      <c r="R323" s="35">
        <f t="shared" ref="R323:R386" si="95">(H323+(2*I323))/SUM(G323:I323)</f>
        <v>0.14285714285714288</v>
      </c>
      <c r="S323" s="35">
        <f t="shared" ref="S323:S386" si="96">(Z323+(2*AB323))/SUM(X323,Z323,AB323)</f>
        <v>0.1</v>
      </c>
      <c r="T323" s="35">
        <f t="shared" ref="T323:T386" si="97">(AA323+(2*AC323))/SUM(Y323,AA323,AC323)</f>
        <v>0.25</v>
      </c>
      <c r="U323" s="35">
        <f t="shared" ref="U323:U386" si="98">SUM(Y323,AA323,AC323)/SUM(G323:I323)</f>
        <v>0.28571428571428575</v>
      </c>
      <c r="V323" s="35">
        <f t="shared" ref="V323:V386" si="99">SUM(AE323,AG323,AI323)/SUM(D323:F323)</f>
        <v>0.33333333333333337</v>
      </c>
      <c r="W323" s="35"/>
      <c r="X323" s="128">
        <v>0.09</v>
      </c>
      <c r="Y323" s="128">
        <v>0.03</v>
      </c>
      <c r="Z323" s="128">
        <v>0.01</v>
      </c>
      <c r="AA323" s="128">
        <v>0.01</v>
      </c>
      <c r="AB323" s="128">
        <v>0</v>
      </c>
      <c r="AC323" s="128">
        <v>0</v>
      </c>
      <c r="AD323" s="128">
        <v>0.04</v>
      </c>
      <c r="AE323" s="128">
        <v>0.02</v>
      </c>
      <c r="AF323" s="128">
        <v>0</v>
      </c>
      <c r="AG323" s="128">
        <v>0</v>
      </c>
      <c r="AH323" s="128">
        <v>0</v>
      </c>
      <c r="AI323" s="128">
        <v>0</v>
      </c>
    </row>
    <row r="324" spans="1:35" x14ac:dyDescent="0.2">
      <c r="A324" s="110" t="s">
        <v>891</v>
      </c>
      <c r="B324" t="s">
        <v>902</v>
      </c>
      <c r="C324" t="s">
        <v>904</v>
      </c>
      <c r="D324" s="35">
        <f t="shared" si="84"/>
        <v>0.06</v>
      </c>
      <c r="E324" s="35">
        <f t="shared" si="85"/>
        <v>0</v>
      </c>
      <c r="F324" s="35">
        <f t="shared" si="86"/>
        <v>0</v>
      </c>
      <c r="G324" s="35">
        <f t="shared" si="87"/>
        <v>0.13</v>
      </c>
      <c r="H324" s="35">
        <f t="shared" si="88"/>
        <v>0.02</v>
      </c>
      <c r="I324" s="35">
        <f t="shared" si="89"/>
        <v>0</v>
      </c>
      <c r="J324" s="128">
        <v>0.69</v>
      </c>
      <c r="K324" s="128">
        <v>0.06</v>
      </c>
      <c r="L324" s="128">
        <v>0.02</v>
      </c>
      <c r="M324" s="114">
        <f t="shared" si="90"/>
        <v>0.98</v>
      </c>
      <c r="N324" s="35">
        <f t="shared" si="91"/>
        <v>78.571428571428569</v>
      </c>
      <c r="O324" s="35">
        <f t="shared" si="92"/>
        <v>15.306122448979592</v>
      </c>
      <c r="P324" s="35">
        <f t="shared" si="93"/>
        <v>6.1224489795918364</v>
      </c>
      <c r="Q324" s="35">
        <f t="shared" si="94"/>
        <v>0.12987012987012989</v>
      </c>
      <c r="R324" s="35">
        <f t="shared" si="95"/>
        <v>0.13333333333333333</v>
      </c>
      <c r="S324" s="35">
        <f t="shared" si="96"/>
        <v>9.0909090909090912E-2</v>
      </c>
      <c r="T324" s="35">
        <f t="shared" si="97"/>
        <v>0.25</v>
      </c>
      <c r="U324" s="35">
        <f t="shared" si="98"/>
        <v>0.26666666666666666</v>
      </c>
      <c r="V324" s="35">
        <f t="shared" si="99"/>
        <v>0.33333333333333337</v>
      </c>
      <c r="W324" s="35"/>
      <c r="X324" s="128">
        <v>0.1</v>
      </c>
      <c r="Y324" s="128">
        <v>0.03</v>
      </c>
      <c r="Z324" s="128">
        <v>0.01</v>
      </c>
      <c r="AA324" s="128">
        <v>0.01</v>
      </c>
      <c r="AB324" s="128">
        <v>0</v>
      </c>
      <c r="AC324" s="128">
        <v>0</v>
      </c>
      <c r="AD324" s="128">
        <v>0.04</v>
      </c>
      <c r="AE324" s="128">
        <v>0.02</v>
      </c>
      <c r="AF324" s="128">
        <v>0</v>
      </c>
      <c r="AG324" s="128">
        <v>0</v>
      </c>
      <c r="AH324" s="128">
        <v>0</v>
      </c>
      <c r="AI324" s="128">
        <v>0</v>
      </c>
    </row>
    <row r="325" spans="1:35" x14ac:dyDescent="0.2">
      <c r="A325" s="110" t="s">
        <v>891</v>
      </c>
      <c r="B325" t="s">
        <v>902</v>
      </c>
      <c r="C325" t="s">
        <v>904</v>
      </c>
      <c r="D325" s="35">
        <f t="shared" si="84"/>
        <v>7.0000000000000007E-2</v>
      </c>
      <c r="E325" s="35">
        <f t="shared" si="85"/>
        <v>0</v>
      </c>
      <c r="F325" s="35">
        <f t="shared" si="86"/>
        <v>0</v>
      </c>
      <c r="G325" s="35">
        <f t="shared" si="87"/>
        <v>0.13</v>
      </c>
      <c r="H325" s="35">
        <f t="shared" si="88"/>
        <v>0.03</v>
      </c>
      <c r="I325" s="35">
        <f t="shared" si="89"/>
        <v>0</v>
      </c>
      <c r="J325" s="128">
        <v>0.69</v>
      </c>
      <c r="K325" s="128">
        <v>7.0000000000000007E-2</v>
      </c>
      <c r="L325" s="128">
        <v>0.02</v>
      </c>
      <c r="M325" s="114">
        <f t="shared" si="90"/>
        <v>1.01</v>
      </c>
      <c r="N325" s="35">
        <f t="shared" si="91"/>
        <v>77.227722772277232</v>
      </c>
      <c r="O325" s="35">
        <f t="shared" si="92"/>
        <v>15.841584158415841</v>
      </c>
      <c r="P325" s="35">
        <f t="shared" si="93"/>
        <v>6.9306930693069315</v>
      </c>
      <c r="Q325" s="35">
        <f t="shared" si="94"/>
        <v>0.14102564102564105</v>
      </c>
      <c r="R325" s="35">
        <f t="shared" si="95"/>
        <v>0.1875</v>
      </c>
      <c r="S325" s="35">
        <f t="shared" si="96"/>
        <v>0.18181818181818182</v>
      </c>
      <c r="T325" s="35">
        <f t="shared" si="97"/>
        <v>0.19999999999999998</v>
      </c>
      <c r="U325" s="35">
        <f t="shared" si="98"/>
        <v>0.3125</v>
      </c>
      <c r="V325" s="35">
        <f t="shared" si="99"/>
        <v>0.2857142857142857</v>
      </c>
      <c r="W325" s="35"/>
      <c r="X325" s="128">
        <v>0.09</v>
      </c>
      <c r="Y325" s="128">
        <v>0.04</v>
      </c>
      <c r="Z325" s="128">
        <v>0.02</v>
      </c>
      <c r="AA325" s="128">
        <v>0.01</v>
      </c>
      <c r="AB325" s="128">
        <v>0</v>
      </c>
      <c r="AC325" s="128">
        <v>0</v>
      </c>
      <c r="AD325" s="128">
        <v>0.05</v>
      </c>
      <c r="AE325" s="128">
        <v>0.02</v>
      </c>
      <c r="AF325" s="128">
        <v>0</v>
      </c>
      <c r="AG325" s="128">
        <v>0</v>
      </c>
      <c r="AH325" s="128">
        <v>0</v>
      </c>
      <c r="AI325" s="128">
        <v>0</v>
      </c>
    </row>
    <row r="326" spans="1:35" x14ac:dyDescent="0.2">
      <c r="A326" s="110" t="s">
        <v>891</v>
      </c>
      <c r="B326" t="s">
        <v>902</v>
      </c>
      <c r="C326" t="s">
        <v>904</v>
      </c>
      <c r="D326" s="35">
        <f t="shared" si="84"/>
        <v>0.06</v>
      </c>
      <c r="E326" s="35">
        <f t="shared" si="85"/>
        <v>0</v>
      </c>
      <c r="F326" s="35">
        <f t="shared" si="86"/>
        <v>0</v>
      </c>
      <c r="G326" s="35">
        <f t="shared" si="87"/>
        <v>0.14000000000000001</v>
      </c>
      <c r="H326" s="35">
        <f t="shared" si="88"/>
        <v>0.03</v>
      </c>
      <c r="I326" s="35">
        <f t="shared" si="89"/>
        <v>0</v>
      </c>
      <c r="J326" s="128">
        <v>0.67</v>
      </c>
      <c r="K326" s="128">
        <v>7.0000000000000007E-2</v>
      </c>
      <c r="L326" s="128">
        <v>0.02</v>
      </c>
      <c r="M326" s="114">
        <f t="shared" si="90"/>
        <v>0.99</v>
      </c>
      <c r="N326" s="35">
        <f t="shared" si="91"/>
        <v>76.767676767676775</v>
      </c>
      <c r="O326" s="35">
        <f t="shared" si="92"/>
        <v>17.171717171717173</v>
      </c>
      <c r="P326" s="35">
        <f t="shared" si="93"/>
        <v>6.0606060606060606</v>
      </c>
      <c r="Q326" s="35">
        <f t="shared" si="94"/>
        <v>0.14473684210526316</v>
      </c>
      <c r="R326" s="35">
        <f t="shared" si="95"/>
        <v>0.1764705882352941</v>
      </c>
      <c r="S326" s="35">
        <f t="shared" si="96"/>
        <v>0.16666666666666666</v>
      </c>
      <c r="T326" s="35">
        <f t="shared" si="97"/>
        <v>0.19999999999999998</v>
      </c>
      <c r="U326" s="35">
        <f t="shared" si="98"/>
        <v>0.29411764705882354</v>
      </c>
      <c r="V326" s="35">
        <f t="shared" si="99"/>
        <v>0.33333333333333337</v>
      </c>
      <c r="W326" s="35"/>
      <c r="X326" s="128">
        <v>0.1</v>
      </c>
      <c r="Y326" s="128">
        <v>0.04</v>
      </c>
      <c r="Z326" s="128">
        <v>0.02</v>
      </c>
      <c r="AA326" s="128">
        <v>0.01</v>
      </c>
      <c r="AB326" s="128">
        <v>0</v>
      </c>
      <c r="AC326" s="128">
        <v>0</v>
      </c>
      <c r="AD326" s="128">
        <v>0.04</v>
      </c>
      <c r="AE326" s="128">
        <v>0.02</v>
      </c>
      <c r="AF326" s="128">
        <v>0</v>
      </c>
      <c r="AG326" s="128">
        <v>0</v>
      </c>
      <c r="AH326" s="128">
        <v>0</v>
      </c>
      <c r="AI326" s="128">
        <v>0</v>
      </c>
    </row>
    <row r="327" spans="1:35" x14ac:dyDescent="0.2">
      <c r="A327" s="110" t="s">
        <v>891</v>
      </c>
      <c r="B327" t="s">
        <v>902</v>
      </c>
      <c r="C327" t="s">
        <v>904</v>
      </c>
      <c r="D327" s="35">
        <f t="shared" si="84"/>
        <v>0.05</v>
      </c>
      <c r="E327" s="35">
        <f t="shared" si="85"/>
        <v>0</v>
      </c>
      <c r="F327" s="35">
        <f t="shared" si="86"/>
        <v>0</v>
      </c>
      <c r="G327" s="35">
        <f t="shared" si="87"/>
        <v>0.12</v>
      </c>
      <c r="H327" s="35">
        <f t="shared" si="88"/>
        <v>0.03</v>
      </c>
      <c r="I327" s="35">
        <f t="shared" si="89"/>
        <v>0</v>
      </c>
      <c r="J327" s="128">
        <v>0.69</v>
      </c>
      <c r="K327" s="128">
        <v>0.09</v>
      </c>
      <c r="L327" s="128">
        <v>0.03</v>
      </c>
      <c r="M327" s="114">
        <f t="shared" si="90"/>
        <v>1.0099999999999998</v>
      </c>
      <c r="N327" s="35">
        <f t="shared" si="91"/>
        <v>80.198019801980209</v>
      </c>
      <c r="O327" s="35">
        <f t="shared" si="92"/>
        <v>14.851485148514854</v>
      </c>
      <c r="P327" s="35">
        <f t="shared" si="93"/>
        <v>4.9504950495049522</v>
      </c>
      <c r="Q327" s="35">
        <f t="shared" si="94"/>
        <v>0.1851851851851852</v>
      </c>
      <c r="R327" s="35">
        <f t="shared" si="95"/>
        <v>0.2</v>
      </c>
      <c r="S327" s="35">
        <f t="shared" si="96"/>
        <v>0.18181818181818182</v>
      </c>
      <c r="T327" s="35">
        <f t="shared" si="97"/>
        <v>0.25</v>
      </c>
      <c r="U327" s="35">
        <f t="shared" si="98"/>
        <v>0.26666666666666666</v>
      </c>
      <c r="V327" s="35">
        <f t="shared" si="99"/>
        <v>0.39999999999999997</v>
      </c>
      <c r="W327" s="35"/>
      <c r="X327" s="128">
        <v>0.09</v>
      </c>
      <c r="Y327" s="128">
        <v>0.03</v>
      </c>
      <c r="Z327" s="128">
        <v>0.02</v>
      </c>
      <c r="AA327" s="128">
        <v>0.01</v>
      </c>
      <c r="AB327" s="128">
        <v>0</v>
      </c>
      <c r="AC327" s="128">
        <v>0</v>
      </c>
      <c r="AD327" s="128">
        <v>0.03</v>
      </c>
      <c r="AE327" s="128">
        <v>0.02</v>
      </c>
      <c r="AF327" s="128">
        <v>0</v>
      </c>
      <c r="AG327" s="128">
        <v>0</v>
      </c>
      <c r="AH327" s="128">
        <v>0</v>
      </c>
      <c r="AI327" s="128">
        <v>0</v>
      </c>
    </row>
    <row r="328" spans="1:35" x14ac:dyDescent="0.2">
      <c r="A328" s="110" t="s">
        <v>891</v>
      </c>
      <c r="B328" t="s">
        <v>902</v>
      </c>
      <c r="C328" t="s">
        <v>904</v>
      </c>
      <c r="D328" s="35">
        <f t="shared" si="84"/>
        <v>7.0000000000000007E-2</v>
      </c>
      <c r="E328" s="35">
        <f t="shared" si="85"/>
        <v>0</v>
      </c>
      <c r="F328" s="35">
        <f t="shared" si="86"/>
        <v>0</v>
      </c>
      <c r="G328" s="35">
        <f t="shared" si="87"/>
        <v>0.12</v>
      </c>
      <c r="H328" s="35">
        <f t="shared" si="88"/>
        <v>0.03</v>
      </c>
      <c r="I328" s="35">
        <f t="shared" si="89"/>
        <v>0</v>
      </c>
      <c r="J328" s="128">
        <v>0.68</v>
      </c>
      <c r="K328" s="128">
        <v>0.08</v>
      </c>
      <c r="L328" s="128">
        <v>0.02</v>
      </c>
      <c r="M328" s="114">
        <f t="shared" si="90"/>
        <v>1</v>
      </c>
      <c r="N328" s="35">
        <f t="shared" si="91"/>
        <v>78</v>
      </c>
      <c r="O328" s="35">
        <f t="shared" si="92"/>
        <v>15</v>
      </c>
      <c r="P328" s="35">
        <f t="shared" si="93"/>
        <v>7.0000000000000009</v>
      </c>
      <c r="Q328" s="35">
        <f t="shared" si="94"/>
        <v>0.15384615384615383</v>
      </c>
      <c r="R328" s="35">
        <f t="shared" si="95"/>
        <v>0.2</v>
      </c>
      <c r="S328" s="35">
        <f t="shared" si="96"/>
        <v>0.18181818181818182</v>
      </c>
      <c r="T328" s="35">
        <f t="shared" si="97"/>
        <v>0.25</v>
      </c>
      <c r="U328" s="35">
        <f t="shared" si="98"/>
        <v>0.26666666666666666</v>
      </c>
      <c r="V328" s="35">
        <f t="shared" si="99"/>
        <v>0.42857142857142849</v>
      </c>
      <c r="W328" s="35"/>
      <c r="X328" s="128">
        <v>0.09</v>
      </c>
      <c r="Y328" s="128">
        <v>0.03</v>
      </c>
      <c r="Z328" s="128">
        <v>0.02</v>
      </c>
      <c r="AA328" s="128">
        <v>0.01</v>
      </c>
      <c r="AB328" s="128">
        <v>0</v>
      </c>
      <c r="AC328" s="128">
        <v>0</v>
      </c>
      <c r="AD328" s="128">
        <v>0.04</v>
      </c>
      <c r="AE328" s="128">
        <v>0.03</v>
      </c>
      <c r="AF328" s="128">
        <v>0</v>
      </c>
      <c r="AG328" s="128">
        <v>0</v>
      </c>
      <c r="AH328" s="128">
        <v>0</v>
      </c>
      <c r="AI328" s="128">
        <v>0</v>
      </c>
    </row>
    <row r="329" spans="1:35" x14ac:dyDescent="0.2">
      <c r="A329" s="110" t="s">
        <v>891</v>
      </c>
      <c r="B329" t="s">
        <v>902</v>
      </c>
      <c r="C329" t="s">
        <v>904</v>
      </c>
      <c r="D329" s="35">
        <f t="shared" si="84"/>
        <v>0.05</v>
      </c>
      <c r="E329" s="35">
        <f t="shared" si="85"/>
        <v>0</v>
      </c>
      <c r="F329" s="35">
        <f t="shared" si="86"/>
        <v>0</v>
      </c>
      <c r="G329" s="35">
        <f t="shared" si="87"/>
        <v>0.12</v>
      </c>
      <c r="H329" s="35">
        <f t="shared" si="88"/>
        <v>0.03</v>
      </c>
      <c r="I329" s="35">
        <f t="shared" si="89"/>
        <v>0</v>
      </c>
      <c r="J329" s="128">
        <v>0.7</v>
      </c>
      <c r="K329" s="128">
        <v>7.0000000000000007E-2</v>
      </c>
      <c r="L329" s="128">
        <v>0.02</v>
      </c>
      <c r="M329" s="114">
        <f t="shared" si="90"/>
        <v>0.99</v>
      </c>
      <c r="N329" s="35">
        <f t="shared" si="91"/>
        <v>79.797979797979806</v>
      </c>
      <c r="O329" s="35">
        <f t="shared" si="92"/>
        <v>15.151515151515152</v>
      </c>
      <c r="P329" s="35">
        <f t="shared" si="93"/>
        <v>5.0505050505050511</v>
      </c>
      <c r="Q329" s="35">
        <f t="shared" si="94"/>
        <v>0.13924050632911394</v>
      </c>
      <c r="R329" s="35">
        <f t="shared" si="95"/>
        <v>0.2</v>
      </c>
      <c r="S329" s="35">
        <f t="shared" si="96"/>
        <v>0.18181818181818182</v>
      </c>
      <c r="T329" s="35">
        <f t="shared" si="97"/>
        <v>0.25</v>
      </c>
      <c r="U329" s="35">
        <f t="shared" si="98"/>
        <v>0.26666666666666666</v>
      </c>
      <c r="V329" s="35">
        <f t="shared" si="99"/>
        <v>0.39999999999999997</v>
      </c>
      <c r="W329" s="35"/>
      <c r="X329" s="128">
        <v>0.09</v>
      </c>
      <c r="Y329" s="128">
        <v>0.03</v>
      </c>
      <c r="Z329" s="128">
        <v>0.02</v>
      </c>
      <c r="AA329" s="128">
        <v>0.01</v>
      </c>
      <c r="AB329" s="128">
        <v>0</v>
      </c>
      <c r="AC329" s="128">
        <v>0</v>
      </c>
      <c r="AD329" s="128">
        <v>0.03</v>
      </c>
      <c r="AE329" s="128">
        <v>0.02</v>
      </c>
      <c r="AF329" s="128">
        <v>0</v>
      </c>
      <c r="AG329" s="128">
        <v>0</v>
      </c>
      <c r="AH329" s="128">
        <v>0</v>
      </c>
      <c r="AI329" s="128">
        <v>0</v>
      </c>
    </row>
    <row r="330" spans="1:35" x14ac:dyDescent="0.2">
      <c r="A330" s="110" t="s">
        <v>891</v>
      </c>
      <c r="B330" t="s">
        <v>902</v>
      </c>
      <c r="C330" t="s">
        <v>904</v>
      </c>
      <c r="D330" s="35">
        <f t="shared" si="84"/>
        <v>0.05</v>
      </c>
      <c r="E330" s="35">
        <f t="shared" si="85"/>
        <v>0</v>
      </c>
      <c r="F330" s="35">
        <f t="shared" si="86"/>
        <v>0</v>
      </c>
      <c r="G330" s="35">
        <f t="shared" si="87"/>
        <v>0.13</v>
      </c>
      <c r="H330" s="35">
        <f t="shared" si="88"/>
        <v>0.02</v>
      </c>
      <c r="I330" s="35">
        <f t="shared" si="89"/>
        <v>0</v>
      </c>
      <c r="J330" s="128">
        <v>0.69</v>
      </c>
      <c r="K330" s="128">
        <v>0.08</v>
      </c>
      <c r="L330" s="128">
        <v>0.03</v>
      </c>
      <c r="M330" s="114">
        <f t="shared" si="90"/>
        <v>0.99999999999999989</v>
      </c>
      <c r="N330" s="35">
        <f t="shared" si="91"/>
        <v>80</v>
      </c>
      <c r="O330" s="35">
        <f t="shared" si="92"/>
        <v>15.000000000000002</v>
      </c>
      <c r="P330" s="35">
        <f t="shared" si="93"/>
        <v>5.0000000000000009</v>
      </c>
      <c r="Q330" s="35">
        <f t="shared" si="94"/>
        <v>0.17500000000000004</v>
      </c>
      <c r="R330" s="35">
        <f t="shared" si="95"/>
        <v>0.13333333333333333</v>
      </c>
      <c r="S330" s="35">
        <f t="shared" si="96"/>
        <v>9.0909090909090912E-2</v>
      </c>
      <c r="T330" s="35">
        <f t="shared" si="97"/>
        <v>0.25</v>
      </c>
      <c r="U330" s="35">
        <f t="shared" si="98"/>
        <v>0.26666666666666666</v>
      </c>
      <c r="V330" s="35">
        <f t="shared" si="99"/>
        <v>0.39999999999999997</v>
      </c>
      <c r="W330" s="35"/>
      <c r="X330" s="128">
        <v>0.1</v>
      </c>
      <c r="Y330" s="128">
        <v>0.03</v>
      </c>
      <c r="Z330" s="128">
        <v>0.01</v>
      </c>
      <c r="AA330" s="128">
        <v>0.01</v>
      </c>
      <c r="AB330" s="128">
        <v>0</v>
      </c>
      <c r="AC330" s="128">
        <v>0</v>
      </c>
      <c r="AD330" s="128">
        <v>0.03</v>
      </c>
      <c r="AE330" s="128">
        <v>0.02</v>
      </c>
      <c r="AF330" s="128">
        <v>0</v>
      </c>
      <c r="AG330" s="128">
        <v>0</v>
      </c>
      <c r="AH330" s="128">
        <v>0</v>
      </c>
      <c r="AI330" s="128">
        <v>0</v>
      </c>
    </row>
    <row r="331" spans="1:35" x14ac:dyDescent="0.2">
      <c r="A331" s="110" t="s">
        <v>891</v>
      </c>
      <c r="B331" t="s">
        <v>902</v>
      </c>
      <c r="C331" t="s">
        <v>904</v>
      </c>
      <c r="D331" s="35">
        <f t="shared" si="84"/>
        <v>0.06</v>
      </c>
      <c r="E331" s="35">
        <f t="shared" si="85"/>
        <v>0</v>
      </c>
      <c r="F331" s="35">
        <f t="shared" si="86"/>
        <v>0</v>
      </c>
      <c r="G331" s="35">
        <f t="shared" si="87"/>
        <v>0.12</v>
      </c>
      <c r="H331" s="35">
        <f t="shared" si="88"/>
        <v>0.03</v>
      </c>
      <c r="I331" s="35">
        <f t="shared" si="89"/>
        <v>0</v>
      </c>
      <c r="J331" s="128">
        <v>0.7</v>
      </c>
      <c r="K331" s="128">
        <v>0.08</v>
      </c>
      <c r="L331" s="128">
        <v>0.02</v>
      </c>
      <c r="M331" s="114">
        <f t="shared" si="90"/>
        <v>1.0099999999999998</v>
      </c>
      <c r="N331" s="35">
        <f t="shared" si="91"/>
        <v>79.207920792079221</v>
      </c>
      <c r="O331" s="35">
        <f t="shared" si="92"/>
        <v>14.851485148514854</v>
      </c>
      <c r="P331" s="35">
        <f t="shared" si="93"/>
        <v>5.9405940594059414</v>
      </c>
      <c r="Q331" s="35">
        <f t="shared" si="94"/>
        <v>0.15</v>
      </c>
      <c r="R331" s="35">
        <f t="shared" si="95"/>
        <v>0.2</v>
      </c>
      <c r="S331" s="35">
        <f t="shared" si="96"/>
        <v>0.18181818181818182</v>
      </c>
      <c r="T331" s="35">
        <f t="shared" si="97"/>
        <v>0.25</v>
      </c>
      <c r="U331" s="35">
        <f t="shared" si="98"/>
        <v>0.26666666666666666</v>
      </c>
      <c r="V331" s="35">
        <f t="shared" si="99"/>
        <v>0.33333333333333337</v>
      </c>
      <c r="W331" s="35"/>
      <c r="X331" s="128">
        <v>0.09</v>
      </c>
      <c r="Y331" s="128">
        <v>0.03</v>
      </c>
      <c r="Z331" s="128">
        <v>0.02</v>
      </c>
      <c r="AA331" s="128">
        <v>0.01</v>
      </c>
      <c r="AB331" s="128">
        <v>0</v>
      </c>
      <c r="AC331" s="128">
        <v>0</v>
      </c>
      <c r="AD331" s="128">
        <v>0.04</v>
      </c>
      <c r="AE331" s="128">
        <v>0.02</v>
      </c>
      <c r="AF331" s="128">
        <v>0</v>
      </c>
      <c r="AG331" s="128">
        <v>0</v>
      </c>
      <c r="AH331" s="128">
        <v>0</v>
      </c>
      <c r="AI331" s="128">
        <v>0</v>
      </c>
    </row>
    <row r="332" spans="1:35" x14ac:dyDescent="0.2">
      <c r="A332" s="110" t="s">
        <v>891</v>
      </c>
      <c r="B332" t="s">
        <v>902</v>
      </c>
      <c r="C332" t="s">
        <v>904</v>
      </c>
      <c r="D332" s="35">
        <f t="shared" si="84"/>
        <v>0.04</v>
      </c>
      <c r="E332" s="35">
        <f t="shared" si="85"/>
        <v>0</v>
      </c>
      <c r="F332" s="35">
        <f t="shared" si="86"/>
        <v>0</v>
      </c>
      <c r="G332" s="35">
        <f t="shared" si="87"/>
        <v>0.14000000000000001</v>
      </c>
      <c r="H332" s="35">
        <f t="shared" si="88"/>
        <v>0</v>
      </c>
      <c r="I332" s="35">
        <f t="shared" si="89"/>
        <v>0</v>
      </c>
      <c r="J332" s="128">
        <v>0.75</v>
      </c>
      <c r="K332" s="128">
        <v>7.0000000000000007E-2</v>
      </c>
      <c r="L332" s="128">
        <v>0</v>
      </c>
      <c r="M332" s="114">
        <f t="shared" si="90"/>
        <v>1</v>
      </c>
      <c r="N332" s="35">
        <f t="shared" si="91"/>
        <v>82</v>
      </c>
      <c r="O332" s="35">
        <f t="shared" si="92"/>
        <v>14.000000000000002</v>
      </c>
      <c r="P332" s="35">
        <f t="shared" si="93"/>
        <v>4</v>
      </c>
      <c r="Q332" s="35">
        <f t="shared" si="94"/>
        <v>8.5365853658536592E-2</v>
      </c>
      <c r="R332" s="35">
        <f t="shared" si="95"/>
        <v>0</v>
      </c>
      <c r="S332" s="35">
        <f t="shared" si="96"/>
        <v>0</v>
      </c>
      <c r="T332" s="35">
        <f t="shared" si="97"/>
        <v>0</v>
      </c>
      <c r="U332" s="35">
        <f t="shared" si="98"/>
        <v>0.2857142857142857</v>
      </c>
      <c r="V332" s="35">
        <f t="shared" si="99"/>
        <v>0</v>
      </c>
      <c r="W332" s="35"/>
      <c r="X332" s="128">
        <v>0.1</v>
      </c>
      <c r="Y332" s="128">
        <v>0.04</v>
      </c>
      <c r="Z332" s="128">
        <v>0</v>
      </c>
      <c r="AA332" s="128">
        <v>0</v>
      </c>
      <c r="AB332" s="128">
        <v>0</v>
      </c>
      <c r="AC332" s="128">
        <v>0</v>
      </c>
      <c r="AD332" s="128">
        <v>0.04</v>
      </c>
      <c r="AE332" s="128">
        <v>0</v>
      </c>
      <c r="AF332" s="128">
        <v>0</v>
      </c>
      <c r="AG332" s="128">
        <v>0</v>
      </c>
      <c r="AH332" s="128">
        <v>0</v>
      </c>
      <c r="AI332" s="128">
        <v>0</v>
      </c>
    </row>
    <row r="333" spans="1:35" x14ac:dyDescent="0.2">
      <c r="A333" s="110" t="s">
        <v>891</v>
      </c>
      <c r="B333" t="s">
        <v>902</v>
      </c>
      <c r="C333" t="s">
        <v>904</v>
      </c>
      <c r="D333" s="35">
        <f t="shared" si="84"/>
        <v>0.06</v>
      </c>
      <c r="E333" s="35">
        <f t="shared" si="85"/>
        <v>0</v>
      </c>
      <c r="F333" s="35">
        <f t="shared" si="86"/>
        <v>0</v>
      </c>
      <c r="G333" s="35">
        <f t="shared" si="87"/>
        <v>0.15</v>
      </c>
      <c r="H333" s="35">
        <f t="shared" si="88"/>
        <v>0.02</v>
      </c>
      <c r="I333" s="35">
        <f t="shared" si="89"/>
        <v>0</v>
      </c>
      <c r="J333" s="128">
        <v>0.68</v>
      </c>
      <c r="K333" s="128">
        <v>7.0000000000000007E-2</v>
      </c>
      <c r="L333" s="128">
        <v>0.02</v>
      </c>
      <c r="M333" s="114">
        <f t="shared" si="90"/>
        <v>1</v>
      </c>
      <c r="N333" s="35">
        <f t="shared" si="91"/>
        <v>77</v>
      </c>
      <c r="O333" s="35">
        <f t="shared" si="92"/>
        <v>17</v>
      </c>
      <c r="P333" s="35">
        <f t="shared" si="93"/>
        <v>6</v>
      </c>
      <c r="Q333" s="35">
        <f t="shared" si="94"/>
        <v>0.14285714285714288</v>
      </c>
      <c r="R333" s="35">
        <f t="shared" si="95"/>
        <v>0.11764705882352942</v>
      </c>
      <c r="S333" s="35">
        <f t="shared" si="96"/>
        <v>0.15384615384615385</v>
      </c>
      <c r="T333" s="35">
        <f t="shared" si="97"/>
        <v>0</v>
      </c>
      <c r="U333" s="35">
        <f t="shared" si="98"/>
        <v>0.23529411764705885</v>
      </c>
      <c r="V333" s="35">
        <f t="shared" si="99"/>
        <v>0.33333333333333337</v>
      </c>
      <c r="W333" s="35"/>
      <c r="X333" s="128">
        <v>0.11</v>
      </c>
      <c r="Y333" s="128">
        <v>0.04</v>
      </c>
      <c r="Z333" s="128">
        <v>0.02</v>
      </c>
      <c r="AA333" s="128">
        <v>0</v>
      </c>
      <c r="AB333" s="128">
        <v>0</v>
      </c>
      <c r="AC333" s="128">
        <v>0</v>
      </c>
      <c r="AD333" s="128">
        <v>0.04</v>
      </c>
      <c r="AE333" s="128">
        <v>0.02</v>
      </c>
      <c r="AF333" s="128">
        <v>0</v>
      </c>
      <c r="AG333" s="128">
        <v>0</v>
      </c>
      <c r="AH333" s="128">
        <v>0</v>
      </c>
      <c r="AI333" s="128">
        <v>0</v>
      </c>
    </row>
    <row r="334" spans="1:35" x14ac:dyDescent="0.2">
      <c r="A334" s="110" t="s">
        <v>891</v>
      </c>
      <c r="B334" t="s">
        <v>902</v>
      </c>
      <c r="C334" t="s">
        <v>904</v>
      </c>
      <c r="D334" s="35">
        <f t="shared" si="84"/>
        <v>0</v>
      </c>
      <c r="E334" s="35">
        <f t="shared" si="85"/>
        <v>0</v>
      </c>
      <c r="F334" s="35">
        <f t="shared" si="86"/>
        <v>0</v>
      </c>
      <c r="G334" s="35">
        <f t="shared" si="87"/>
        <v>0.12</v>
      </c>
      <c r="H334" s="35">
        <f t="shared" si="88"/>
        <v>0</v>
      </c>
      <c r="I334" s="35">
        <f t="shared" si="89"/>
        <v>0</v>
      </c>
      <c r="J334" s="128">
        <v>0.78</v>
      </c>
      <c r="K334" s="128">
        <v>0.08</v>
      </c>
      <c r="L334" s="128">
        <v>0.02</v>
      </c>
      <c r="M334" s="114">
        <f t="shared" si="90"/>
        <v>1</v>
      </c>
      <c r="N334" s="35">
        <f t="shared" si="91"/>
        <v>88</v>
      </c>
      <c r="O334" s="35">
        <f t="shared" si="92"/>
        <v>12</v>
      </c>
      <c r="P334" s="35">
        <f t="shared" si="93"/>
        <v>0</v>
      </c>
      <c r="Q334" s="35">
        <f t="shared" si="94"/>
        <v>0.13636363636363635</v>
      </c>
      <c r="R334" s="35">
        <f t="shared" si="95"/>
        <v>0</v>
      </c>
      <c r="S334" s="35">
        <f t="shared" si="96"/>
        <v>0</v>
      </c>
      <c r="T334" s="35">
        <f t="shared" si="97"/>
        <v>0</v>
      </c>
      <c r="U334" s="35">
        <f t="shared" si="98"/>
        <v>0.25</v>
      </c>
      <c r="V334" s="35"/>
      <c r="W334" s="35"/>
      <c r="X334" s="128">
        <v>0.09</v>
      </c>
      <c r="Y334" s="128">
        <v>0.03</v>
      </c>
      <c r="Z334" s="128">
        <v>0</v>
      </c>
      <c r="AA334" s="128">
        <v>0</v>
      </c>
      <c r="AB334" s="128">
        <v>0</v>
      </c>
      <c r="AC334" s="128">
        <v>0</v>
      </c>
      <c r="AD334" s="128">
        <v>0</v>
      </c>
      <c r="AE334" s="128">
        <v>0</v>
      </c>
      <c r="AF334" s="128">
        <v>0</v>
      </c>
      <c r="AG334" s="128">
        <v>0</v>
      </c>
      <c r="AH334" s="128">
        <v>0</v>
      </c>
      <c r="AI334" s="128">
        <v>0</v>
      </c>
    </row>
    <row r="335" spans="1:35" x14ac:dyDescent="0.2">
      <c r="A335" s="110" t="s">
        <v>891</v>
      </c>
      <c r="B335" t="s">
        <v>902</v>
      </c>
      <c r="C335" t="s">
        <v>904</v>
      </c>
      <c r="D335" s="35">
        <f t="shared" si="84"/>
        <v>0.08</v>
      </c>
      <c r="E335" s="35">
        <f t="shared" si="85"/>
        <v>0</v>
      </c>
      <c r="F335" s="35">
        <f t="shared" si="86"/>
        <v>0</v>
      </c>
      <c r="G335" s="35">
        <f t="shared" si="87"/>
        <v>0.17</v>
      </c>
      <c r="H335" s="35">
        <f t="shared" si="88"/>
        <v>0</v>
      </c>
      <c r="I335" s="35">
        <f t="shared" si="89"/>
        <v>0</v>
      </c>
      <c r="J335" s="128">
        <v>0.67</v>
      </c>
      <c r="K335" s="128">
        <v>0.06</v>
      </c>
      <c r="L335" s="128">
        <v>0.03</v>
      </c>
      <c r="M335" s="114">
        <f t="shared" si="90"/>
        <v>1.01</v>
      </c>
      <c r="N335" s="35">
        <f t="shared" si="91"/>
        <v>75.247524752475243</v>
      </c>
      <c r="O335" s="35">
        <f t="shared" si="92"/>
        <v>16.831683168316832</v>
      </c>
      <c r="P335" s="35">
        <f t="shared" si="93"/>
        <v>7.9207920792079207</v>
      </c>
      <c r="Q335" s="35">
        <f t="shared" si="94"/>
        <v>0.15789473684210525</v>
      </c>
      <c r="R335" s="35">
        <f t="shared" si="95"/>
        <v>0</v>
      </c>
      <c r="S335" s="35">
        <f t="shared" si="96"/>
        <v>0</v>
      </c>
      <c r="T335" s="35">
        <f t="shared" si="97"/>
        <v>0</v>
      </c>
      <c r="U335" s="35">
        <f t="shared" si="98"/>
        <v>0.1764705882352941</v>
      </c>
      <c r="V335" s="35">
        <f t="shared" si="99"/>
        <v>0.375</v>
      </c>
      <c r="W335" s="35"/>
      <c r="X335" s="128">
        <v>0.14000000000000001</v>
      </c>
      <c r="Y335" s="128">
        <v>0.03</v>
      </c>
      <c r="Z335" s="128">
        <v>0</v>
      </c>
      <c r="AA335" s="128">
        <v>0</v>
      </c>
      <c r="AB335" s="128">
        <v>0</v>
      </c>
      <c r="AC335" s="128">
        <v>0</v>
      </c>
      <c r="AD335" s="128">
        <v>0.05</v>
      </c>
      <c r="AE335" s="128">
        <v>0.03</v>
      </c>
      <c r="AF335" s="128">
        <v>0</v>
      </c>
      <c r="AG335" s="128">
        <v>0</v>
      </c>
      <c r="AH335" s="128">
        <v>0</v>
      </c>
      <c r="AI335" s="128">
        <v>0</v>
      </c>
    </row>
    <row r="336" spans="1:35" x14ac:dyDescent="0.2">
      <c r="A336" s="110" t="s">
        <v>891</v>
      </c>
      <c r="B336" t="s">
        <v>902</v>
      </c>
      <c r="C336" t="s">
        <v>904</v>
      </c>
      <c r="D336" s="35">
        <f t="shared" si="84"/>
        <v>0.08</v>
      </c>
      <c r="E336" s="35">
        <f t="shared" si="85"/>
        <v>0</v>
      </c>
      <c r="F336" s="35">
        <f t="shared" si="86"/>
        <v>0</v>
      </c>
      <c r="G336" s="35">
        <f t="shared" si="87"/>
        <v>0.2</v>
      </c>
      <c r="H336" s="35">
        <f t="shared" si="88"/>
        <v>0.02</v>
      </c>
      <c r="I336" s="35">
        <f t="shared" si="89"/>
        <v>0</v>
      </c>
      <c r="J336" s="128">
        <v>0.63</v>
      </c>
      <c r="K336" s="128">
        <v>0.05</v>
      </c>
      <c r="L336" s="128">
        <v>0.02</v>
      </c>
      <c r="M336" s="114">
        <f t="shared" si="90"/>
        <v>1</v>
      </c>
      <c r="N336" s="35">
        <f t="shared" si="91"/>
        <v>70</v>
      </c>
      <c r="O336" s="35">
        <f t="shared" si="92"/>
        <v>22</v>
      </c>
      <c r="P336" s="35">
        <f t="shared" si="93"/>
        <v>8</v>
      </c>
      <c r="Q336" s="35">
        <f t="shared" si="94"/>
        <v>0.12857142857142856</v>
      </c>
      <c r="R336" s="35">
        <f t="shared" si="95"/>
        <v>9.0909090909090912E-2</v>
      </c>
      <c r="S336" s="35">
        <f t="shared" si="96"/>
        <v>0.10526315789473684</v>
      </c>
      <c r="T336" s="35">
        <f t="shared" si="97"/>
        <v>0</v>
      </c>
      <c r="U336" s="35">
        <f t="shared" si="98"/>
        <v>0.13636363636363635</v>
      </c>
      <c r="V336" s="35">
        <f t="shared" si="99"/>
        <v>0.375</v>
      </c>
      <c r="W336" s="35"/>
      <c r="X336" s="128">
        <v>0.17</v>
      </c>
      <c r="Y336" s="128">
        <v>0.03</v>
      </c>
      <c r="Z336" s="128">
        <v>0.02</v>
      </c>
      <c r="AA336" s="128">
        <v>0</v>
      </c>
      <c r="AB336" s="128">
        <v>0</v>
      </c>
      <c r="AC336" s="128">
        <v>0</v>
      </c>
      <c r="AD336" s="128">
        <v>0.05</v>
      </c>
      <c r="AE336" s="128">
        <v>0.03</v>
      </c>
      <c r="AF336" s="128">
        <v>0</v>
      </c>
      <c r="AG336" s="128">
        <v>0</v>
      </c>
      <c r="AH336" s="128">
        <v>0</v>
      </c>
      <c r="AI336" s="128">
        <v>0</v>
      </c>
    </row>
    <row r="337" spans="1:35" x14ac:dyDescent="0.2">
      <c r="A337" s="110" t="s">
        <v>891</v>
      </c>
      <c r="B337" t="s">
        <v>902</v>
      </c>
      <c r="C337" t="s">
        <v>904</v>
      </c>
      <c r="D337" s="35">
        <f t="shared" si="84"/>
        <v>0.1</v>
      </c>
      <c r="E337" s="35">
        <f t="shared" si="85"/>
        <v>0</v>
      </c>
      <c r="F337" s="35">
        <f t="shared" si="86"/>
        <v>0</v>
      </c>
      <c r="G337" s="35">
        <f t="shared" si="87"/>
        <v>0.18</v>
      </c>
      <c r="H337" s="35">
        <f t="shared" si="88"/>
        <v>0</v>
      </c>
      <c r="I337" s="35">
        <f t="shared" si="89"/>
        <v>0</v>
      </c>
      <c r="J337" s="128">
        <v>0.67</v>
      </c>
      <c r="K337" s="128">
        <v>0.05</v>
      </c>
      <c r="L337" s="128">
        <v>0</v>
      </c>
      <c r="M337" s="114">
        <f t="shared" si="90"/>
        <v>1</v>
      </c>
      <c r="N337" s="35">
        <f t="shared" si="91"/>
        <v>72.000000000000014</v>
      </c>
      <c r="O337" s="35">
        <f t="shared" si="92"/>
        <v>18</v>
      </c>
      <c r="P337" s="35">
        <f t="shared" si="93"/>
        <v>10</v>
      </c>
      <c r="Q337" s="35">
        <f t="shared" si="94"/>
        <v>6.9444444444444434E-2</v>
      </c>
      <c r="R337" s="35">
        <f t="shared" si="95"/>
        <v>0</v>
      </c>
      <c r="S337" s="35">
        <f t="shared" si="96"/>
        <v>0</v>
      </c>
      <c r="T337" s="35"/>
      <c r="U337" s="35">
        <f t="shared" si="98"/>
        <v>0</v>
      </c>
      <c r="V337" s="35">
        <f t="shared" si="99"/>
        <v>0.39999999999999997</v>
      </c>
      <c r="W337" s="35"/>
      <c r="X337" s="128">
        <v>0.18</v>
      </c>
      <c r="Y337" s="128">
        <v>0</v>
      </c>
      <c r="Z337" s="128">
        <v>0</v>
      </c>
      <c r="AA337" s="128">
        <v>0</v>
      </c>
      <c r="AB337" s="128">
        <v>0</v>
      </c>
      <c r="AC337" s="128">
        <v>0</v>
      </c>
      <c r="AD337" s="128">
        <v>0.06</v>
      </c>
      <c r="AE337" s="128">
        <v>0.04</v>
      </c>
      <c r="AF337" s="128">
        <v>0</v>
      </c>
      <c r="AG337" s="128">
        <v>0</v>
      </c>
      <c r="AH337" s="128">
        <v>0</v>
      </c>
      <c r="AI337" s="128">
        <v>0</v>
      </c>
    </row>
    <row r="338" spans="1:35" x14ac:dyDescent="0.2">
      <c r="A338" s="110" t="s">
        <v>891</v>
      </c>
      <c r="B338" t="s">
        <v>902</v>
      </c>
      <c r="C338" t="s">
        <v>904</v>
      </c>
      <c r="D338" s="35">
        <f t="shared" si="84"/>
        <v>0.08</v>
      </c>
      <c r="E338" s="35">
        <f t="shared" si="85"/>
        <v>0</v>
      </c>
      <c r="F338" s="35">
        <f t="shared" si="86"/>
        <v>0</v>
      </c>
      <c r="G338" s="35">
        <f t="shared" si="87"/>
        <v>0.19999999999999998</v>
      </c>
      <c r="H338" s="35">
        <f t="shared" si="88"/>
        <v>0.02</v>
      </c>
      <c r="I338" s="35">
        <f t="shared" si="89"/>
        <v>0</v>
      </c>
      <c r="J338" s="128">
        <v>0.62</v>
      </c>
      <c r="K338" s="128">
        <v>0.05</v>
      </c>
      <c r="L338" s="128">
        <v>0.03</v>
      </c>
      <c r="M338" s="114">
        <f t="shared" si="90"/>
        <v>1</v>
      </c>
      <c r="N338" s="35">
        <f t="shared" si="91"/>
        <v>70</v>
      </c>
      <c r="O338" s="35">
        <f t="shared" si="92"/>
        <v>21.999999999999996</v>
      </c>
      <c r="P338" s="35">
        <f t="shared" si="93"/>
        <v>8</v>
      </c>
      <c r="Q338" s="35">
        <f t="shared" si="94"/>
        <v>0.15714285714285714</v>
      </c>
      <c r="R338" s="35">
        <f t="shared" si="95"/>
        <v>9.0909090909090925E-2</v>
      </c>
      <c r="S338" s="35">
        <f t="shared" si="96"/>
        <v>0.1</v>
      </c>
      <c r="T338" s="35">
        <f t="shared" si="97"/>
        <v>0</v>
      </c>
      <c r="U338" s="35">
        <f t="shared" si="98"/>
        <v>9.0909090909090925E-2</v>
      </c>
      <c r="V338" s="35">
        <f t="shared" si="99"/>
        <v>0.375</v>
      </c>
      <c r="W338" s="35"/>
      <c r="X338" s="128">
        <v>0.18</v>
      </c>
      <c r="Y338" s="128">
        <v>0.02</v>
      </c>
      <c r="Z338" s="128">
        <v>0.02</v>
      </c>
      <c r="AA338" s="128">
        <v>0</v>
      </c>
      <c r="AB338" s="128">
        <v>0</v>
      </c>
      <c r="AC338" s="128">
        <v>0</v>
      </c>
      <c r="AD338" s="128">
        <v>0.05</v>
      </c>
      <c r="AE338" s="128">
        <v>0.03</v>
      </c>
      <c r="AF338" s="128">
        <v>0</v>
      </c>
      <c r="AG338" s="128">
        <v>0</v>
      </c>
      <c r="AH338" s="128">
        <v>0</v>
      </c>
      <c r="AI338" s="128">
        <v>0</v>
      </c>
    </row>
    <row r="339" spans="1:35" x14ac:dyDescent="0.2">
      <c r="A339" s="110" t="s">
        <v>891</v>
      </c>
      <c r="B339" t="s">
        <v>902</v>
      </c>
      <c r="C339" t="s">
        <v>904</v>
      </c>
      <c r="D339" s="35">
        <f t="shared" si="84"/>
        <v>0.09</v>
      </c>
      <c r="E339" s="35">
        <f t="shared" si="85"/>
        <v>0</v>
      </c>
      <c r="F339" s="35">
        <f t="shared" si="86"/>
        <v>0</v>
      </c>
      <c r="G339" s="35">
        <f t="shared" si="87"/>
        <v>0.19</v>
      </c>
      <c r="H339" s="35">
        <f t="shared" si="88"/>
        <v>0.03</v>
      </c>
      <c r="I339" s="35">
        <f t="shared" si="89"/>
        <v>0.01</v>
      </c>
      <c r="J339" s="128">
        <v>0.61</v>
      </c>
      <c r="K339" s="128">
        <v>0.05</v>
      </c>
      <c r="L339" s="128">
        <v>0.03</v>
      </c>
      <c r="M339" s="114">
        <f t="shared" si="90"/>
        <v>1.01</v>
      </c>
      <c r="N339" s="35">
        <f t="shared" si="91"/>
        <v>68.316831683168317</v>
      </c>
      <c r="O339" s="35">
        <f t="shared" si="92"/>
        <v>22.772277227722775</v>
      </c>
      <c r="P339" s="35">
        <f t="shared" si="93"/>
        <v>8.9108910891089099</v>
      </c>
      <c r="Q339" s="35">
        <f t="shared" si="94"/>
        <v>0.15942028985507245</v>
      </c>
      <c r="R339" s="35">
        <f t="shared" si="95"/>
        <v>0.21739130434782608</v>
      </c>
      <c r="S339" s="35">
        <f t="shared" si="96"/>
        <v>0.19999999999999998</v>
      </c>
      <c r="T339" s="35">
        <f t="shared" si="97"/>
        <v>0.33333333333333337</v>
      </c>
      <c r="U339" s="35">
        <f t="shared" si="98"/>
        <v>0.13043478260869565</v>
      </c>
      <c r="V339" s="35">
        <f t="shared" si="99"/>
        <v>0.33333333333333331</v>
      </c>
      <c r="W339" s="35"/>
      <c r="X339" s="128">
        <v>0.17</v>
      </c>
      <c r="Y339" s="128">
        <v>0.02</v>
      </c>
      <c r="Z339" s="128">
        <v>0.02</v>
      </c>
      <c r="AA339" s="128">
        <v>0.01</v>
      </c>
      <c r="AB339" s="128">
        <v>0.01</v>
      </c>
      <c r="AC339" s="128">
        <v>0</v>
      </c>
      <c r="AD339" s="128">
        <v>0.06</v>
      </c>
      <c r="AE339" s="128">
        <v>0.03</v>
      </c>
      <c r="AF339" s="128">
        <v>0</v>
      </c>
      <c r="AG339" s="128">
        <v>0</v>
      </c>
      <c r="AH339" s="128">
        <v>0</v>
      </c>
      <c r="AI339" s="128">
        <v>0</v>
      </c>
    </row>
    <row r="340" spans="1:35" x14ac:dyDescent="0.2">
      <c r="A340" s="110" t="s">
        <v>891</v>
      </c>
      <c r="B340" t="s">
        <v>902</v>
      </c>
      <c r="C340" t="s">
        <v>904</v>
      </c>
      <c r="D340" s="35">
        <f t="shared" si="84"/>
        <v>0.11000000000000001</v>
      </c>
      <c r="E340" s="35">
        <f t="shared" si="85"/>
        <v>0</v>
      </c>
      <c r="F340" s="35">
        <f t="shared" si="86"/>
        <v>0</v>
      </c>
      <c r="G340" s="35">
        <f t="shared" si="87"/>
        <v>0.22</v>
      </c>
      <c r="H340" s="35">
        <f t="shared" si="88"/>
        <v>0</v>
      </c>
      <c r="I340" s="35">
        <f t="shared" si="89"/>
        <v>0</v>
      </c>
      <c r="J340" s="128">
        <v>0.67</v>
      </c>
      <c r="K340" s="128">
        <v>0</v>
      </c>
      <c r="L340" s="128">
        <v>0</v>
      </c>
      <c r="M340" s="114">
        <f t="shared" si="90"/>
        <v>1</v>
      </c>
      <c r="N340" s="35">
        <f t="shared" si="91"/>
        <v>67</v>
      </c>
      <c r="O340" s="35">
        <f t="shared" si="92"/>
        <v>22</v>
      </c>
      <c r="P340" s="35">
        <f t="shared" si="93"/>
        <v>11.000000000000002</v>
      </c>
      <c r="Q340" s="35">
        <f t="shared" si="94"/>
        <v>0</v>
      </c>
      <c r="R340" s="35">
        <f t="shared" si="95"/>
        <v>0</v>
      </c>
      <c r="S340" s="35">
        <f t="shared" si="96"/>
        <v>0</v>
      </c>
      <c r="T340" s="35">
        <f t="shared" si="97"/>
        <v>0</v>
      </c>
      <c r="U340" s="35">
        <f t="shared" si="98"/>
        <v>0.13636363636363635</v>
      </c>
      <c r="V340" s="35">
        <f t="shared" si="99"/>
        <v>0.36363636363636359</v>
      </c>
      <c r="W340" s="35"/>
      <c r="X340" s="128">
        <v>0.19</v>
      </c>
      <c r="Y340" s="128">
        <v>0.03</v>
      </c>
      <c r="Z340" s="128">
        <v>0</v>
      </c>
      <c r="AA340" s="128">
        <v>0</v>
      </c>
      <c r="AB340" s="128">
        <v>0</v>
      </c>
      <c r="AC340" s="128">
        <v>0</v>
      </c>
      <c r="AD340" s="128">
        <v>7.0000000000000007E-2</v>
      </c>
      <c r="AE340" s="128">
        <v>0.04</v>
      </c>
      <c r="AF340" s="128">
        <v>0</v>
      </c>
      <c r="AG340" s="128">
        <v>0</v>
      </c>
      <c r="AH340" s="128">
        <v>0</v>
      </c>
      <c r="AI340" s="128">
        <v>0</v>
      </c>
    </row>
    <row r="341" spans="1:35" x14ac:dyDescent="0.2">
      <c r="A341" s="110" t="s">
        <v>891</v>
      </c>
      <c r="B341" t="s">
        <v>902</v>
      </c>
      <c r="C341" t="s">
        <v>904</v>
      </c>
      <c r="D341" s="35">
        <f t="shared" si="84"/>
        <v>0.09</v>
      </c>
      <c r="E341" s="35">
        <f t="shared" si="85"/>
        <v>0</v>
      </c>
      <c r="F341" s="35">
        <f t="shared" si="86"/>
        <v>0</v>
      </c>
      <c r="G341" s="35">
        <f t="shared" si="87"/>
        <v>0.22</v>
      </c>
      <c r="H341" s="35">
        <f t="shared" si="88"/>
        <v>0</v>
      </c>
      <c r="I341" s="35">
        <f t="shared" si="89"/>
        <v>0</v>
      </c>
      <c r="J341" s="128">
        <v>0.63</v>
      </c>
      <c r="K341" s="128">
        <v>0.05</v>
      </c>
      <c r="L341" s="128">
        <v>0.02</v>
      </c>
      <c r="M341" s="114">
        <f t="shared" si="90"/>
        <v>1.01</v>
      </c>
      <c r="N341" s="35">
        <f t="shared" si="91"/>
        <v>69.306930693069319</v>
      </c>
      <c r="O341" s="35">
        <f t="shared" si="92"/>
        <v>21.782178217821784</v>
      </c>
      <c r="P341" s="35">
        <f t="shared" si="93"/>
        <v>8.9108910891089099</v>
      </c>
      <c r="Q341" s="35">
        <f t="shared" si="94"/>
        <v>0.12857142857142856</v>
      </c>
      <c r="R341" s="35">
        <f t="shared" si="95"/>
        <v>0</v>
      </c>
      <c r="S341" s="35">
        <f t="shared" si="96"/>
        <v>0</v>
      </c>
      <c r="T341" s="35">
        <f t="shared" si="97"/>
        <v>0</v>
      </c>
      <c r="U341" s="35">
        <f t="shared" si="98"/>
        <v>0.13636363636363635</v>
      </c>
      <c r="V341" s="35">
        <f t="shared" si="99"/>
        <v>0.33333333333333331</v>
      </c>
      <c r="W341" s="35"/>
      <c r="X341" s="128">
        <v>0.19</v>
      </c>
      <c r="Y341" s="128">
        <v>0.03</v>
      </c>
      <c r="Z341" s="128">
        <v>0</v>
      </c>
      <c r="AA341" s="128">
        <v>0</v>
      </c>
      <c r="AB341" s="128">
        <v>0</v>
      </c>
      <c r="AC341" s="128">
        <v>0</v>
      </c>
      <c r="AD341" s="128">
        <v>0.06</v>
      </c>
      <c r="AE341" s="128">
        <v>0.03</v>
      </c>
      <c r="AF341" s="128">
        <v>0</v>
      </c>
      <c r="AG341" s="128">
        <v>0</v>
      </c>
      <c r="AH341" s="128">
        <v>0</v>
      </c>
      <c r="AI341" s="128">
        <v>0</v>
      </c>
    </row>
    <row r="342" spans="1:35" x14ac:dyDescent="0.2">
      <c r="A342" s="110" t="s">
        <v>891</v>
      </c>
      <c r="B342" t="s">
        <v>902</v>
      </c>
      <c r="C342" t="s">
        <v>904</v>
      </c>
      <c r="D342" s="35">
        <f t="shared" si="84"/>
        <v>0</v>
      </c>
      <c r="E342" s="35">
        <f t="shared" si="85"/>
        <v>0</v>
      </c>
      <c r="F342" s="35">
        <f t="shared" si="86"/>
        <v>0</v>
      </c>
      <c r="G342" s="35">
        <f t="shared" si="87"/>
        <v>0.19</v>
      </c>
      <c r="H342" s="35">
        <f t="shared" si="88"/>
        <v>0</v>
      </c>
      <c r="I342" s="35">
        <f t="shared" si="89"/>
        <v>0</v>
      </c>
      <c r="J342" s="128">
        <v>0.81</v>
      </c>
      <c r="K342" s="128">
        <v>0</v>
      </c>
      <c r="L342" s="128">
        <v>0</v>
      </c>
      <c r="M342" s="114">
        <f t="shared" si="90"/>
        <v>1</v>
      </c>
      <c r="N342" s="35">
        <f t="shared" si="91"/>
        <v>81</v>
      </c>
      <c r="O342" s="35">
        <f t="shared" si="92"/>
        <v>19</v>
      </c>
      <c r="P342" s="35">
        <f t="shared" si="93"/>
        <v>0</v>
      </c>
      <c r="Q342" s="35">
        <f t="shared" si="94"/>
        <v>0</v>
      </c>
      <c r="R342" s="35">
        <f t="shared" si="95"/>
        <v>0</v>
      </c>
      <c r="S342" s="35">
        <f t="shared" si="96"/>
        <v>0</v>
      </c>
      <c r="T342" s="35"/>
      <c r="U342" s="35">
        <f t="shared" si="98"/>
        <v>0</v>
      </c>
      <c r="V342" s="35"/>
      <c r="W342" s="35"/>
      <c r="X342" s="128">
        <v>0.19</v>
      </c>
      <c r="Y342" s="128">
        <v>0</v>
      </c>
      <c r="Z342" s="128">
        <v>0</v>
      </c>
      <c r="AA342" s="128">
        <v>0</v>
      </c>
      <c r="AB342" s="128">
        <v>0</v>
      </c>
      <c r="AC342" s="128">
        <v>0</v>
      </c>
      <c r="AD342" s="128">
        <v>0</v>
      </c>
      <c r="AE342" s="128">
        <v>0</v>
      </c>
      <c r="AF342" s="128">
        <v>0</v>
      </c>
      <c r="AG342" s="128">
        <v>0</v>
      </c>
      <c r="AH342" s="128">
        <v>0</v>
      </c>
      <c r="AI342" s="128">
        <v>0</v>
      </c>
    </row>
    <row r="343" spans="1:35" x14ac:dyDescent="0.2">
      <c r="A343" s="110" t="s">
        <v>891</v>
      </c>
      <c r="B343" t="s">
        <v>902</v>
      </c>
      <c r="C343" t="s">
        <v>904</v>
      </c>
      <c r="D343" s="35">
        <f t="shared" si="84"/>
        <v>0.09</v>
      </c>
      <c r="E343" s="35">
        <f t="shared" si="85"/>
        <v>0</v>
      </c>
      <c r="F343" s="35">
        <f t="shared" si="86"/>
        <v>0</v>
      </c>
      <c r="G343" s="35">
        <f t="shared" si="87"/>
        <v>0.19999999999999998</v>
      </c>
      <c r="H343" s="35">
        <f t="shared" si="88"/>
        <v>0.02</v>
      </c>
      <c r="I343" s="35">
        <f t="shared" si="89"/>
        <v>0</v>
      </c>
      <c r="J343" s="128">
        <v>0.61</v>
      </c>
      <c r="K343" s="128">
        <v>0.05</v>
      </c>
      <c r="L343" s="128">
        <v>0.02</v>
      </c>
      <c r="M343" s="114">
        <f t="shared" si="90"/>
        <v>0.99</v>
      </c>
      <c r="N343" s="35">
        <f t="shared" si="91"/>
        <v>68.686868686868692</v>
      </c>
      <c r="O343" s="35">
        <f t="shared" si="92"/>
        <v>22.222222222222221</v>
      </c>
      <c r="P343" s="35">
        <f t="shared" si="93"/>
        <v>9.0909090909090917</v>
      </c>
      <c r="Q343" s="35">
        <f t="shared" si="94"/>
        <v>0.13235294117647056</v>
      </c>
      <c r="R343" s="35">
        <f t="shared" si="95"/>
        <v>9.0909090909090925E-2</v>
      </c>
      <c r="S343" s="35">
        <f t="shared" si="96"/>
        <v>0.1</v>
      </c>
      <c r="T343" s="35">
        <f t="shared" si="97"/>
        <v>0</v>
      </c>
      <c r="U343" s="35">
        <f t="shared" si="98"/>
        <v>9.0909090909090925E-2</v>
      </c>
      <c r="V343" s="35">
        <f t="shared" si="99"/>
        <v>0.44444444444444448</v>
      </c>
      <c r="W343" s="35"/>
      <c r="X343" s="128">
        <v>0.18</v>
      </c>
      <c r="Y343" s="128">
        <v>0.02</v>
      </c>
      <c r="Z343" s="128">
        <v>0.02</v>
      </c>
      <c r="AA343" s="128">
        <v>0</v>
      </c>
      <c r="AB343" s="128">
        <v>0</v>
      </c>
      <c r="AC343" s="128">
        <v>0</v>
      </c>
      <c r="AD343" s="128">
        <v>0.05</v>
      </c>
      <c r="AE343" s="128">
        <v>0.04</v>
      </c>
      <c r="AF343" s="128">
        <v>0</v>
      </c>
      <c r="AG343" s="128">
        <v>0</v>
      </c>
      <c r="AH343" s="128">
        <v>0</v>
      </c>
      <c r="AI343" s="128">
        <v>0</v>
      </c>
    </row>
    <row r="344" spans="1:35" x14ac:dyDescent="0.2">
      <c r="A344" s="110" t="s">
        <v>891</v>
      </c>
      <c r="B344" t="s">
        <v>902</v>
      </c>
      <c r="C344" t="s">
        <v>904</v>
      </c>
      <c r="D344" s="35">
        <f t="shared" si="84"/>
        <v>0.1</v>
      </c>
      <c r="E344" s="35">
        <f t="shared" si="85"/>
        <v>0</v>
      </c>
      <c r="F344" s="35">
        <f t="shared" si="86"/>
        <v>0</v>
      </c>
      <c r="G344" s="35">
        <f t="shared" si="87"/>
        <v>0.22</v>
      </c>
      <c r="H344" s="35">
        <f t="shared" si="88"/>
        <v>0.02</v>
      </c>
      <c r="I344" s="35">
        <f t="shared" si="89"/>
        <v>0</v>
      </c>
      <c r="J344" s="128">
        <v>0.59</v>
      </c>
      <c r="K344" s="128">
        <v>0.05</v>
      </c>
      <c r="L344" s="128">
        <v>0.02</v>
      </c>
      <c r="M344" s="114">
        <f t="shared" si="90"/>
        <v>1</v>
      </c>
      <c r="N344" s="35">
        <f t="shared" si="91"/>
        <v>66</v>
      </c>
      <c r="O344" s="35">
        <f t="shared" si="92"/>
        <v>24</v>
      </c>
      <c r="P344" s="35">
        <f t="shared" si="93"/>
        <v>10</v>
      </c>
      <c r="Q344" s="35">
        <f t="shared" si="94"/>
        <v>0.13636363636363635</v>
      </c>
      <c r="R344" s="35">
        <f t="shared" si="95"/>
        <v>8.3333333333333343E-2</v>
      </c>
      <c r="S344" s="35">
        <f t="shared" si="96"/>
        <v>9.5238095238095247E-2</v>
      </c>
      <c r="T344" s="35">
        <f t="shared" si="97"/>
        <v>0</v>
      </c>
      <c r="U344" s="35">
        <f t="shared" si="98"/>
        <v>0.125</v>
      </c>
      <c r="V344" s="35">
        <f t="shared" si="99"/>
        <v>0.39999999999999997</v>
      </c>
      <c r="W344" s="35"/>
      <c r="X344" s="128">
        <v>0.19</v>
      </c>
      <c r="Y344" s="128">
        <v>0.03</v>
      </c>
      <c r="Z344" s="128">
        <v>0.02</v>
      </c>
      <c r="AA344" s="128">
        <v>0</v>
      </c>
      <c r="AB344" s="128">
        <v>0</v>
      </c>
      <c r="AC344" s="128">
        <v>0</v>
      </c>
      <c r="AD344" s="128">
        <v>0.06</v>
      </c>
      <c r="AE344" s="128">
        <v>0.04</v>
      </c>
      <c r="AF344" s="128">
        <v>0</v>
      </c>
      <c r="AG344" s="128">
        <v>0</v>
      </c>
      <c r="AH344" s="128">
        <v>0</v>
      </c>
      <c r="AI344" s="128">
        <v>0</v>
      </c>
    </row>
    <row r="345" spans="1:35" x14ac:dyDescent="0.2">
      <c r="A345" s="110" t="s">
        <v>891</v>
      </c>
      <c r="B345" t="s">
        <v>902</v>
      </c>
      <c r="C345" t="s">
        <v>904</v>
      </c>
      <c r="D345" s="35">
        <f t="shared" si="84"/>
        <v>0.1</v>
      </c>
      <c r="E345" s="35">
        <f t="shared" si="85"/>
        <v>0</v>
      </c>
      <c r="F345" s="35">
        <f t="shared" si="86"/>
        <v>0</v>
      </c>
      <c r="G345" s="35">
        <f t="shared" si="87"/>
        <v>0.21</v>
      </c>
      <c r="H345" s="35">
        <f t="shared" si="88"/>
        <v>0.03</v>
      </c>
      <c r="I345" s="35">
        <f t="shared" si="89"/>
        <v>0.01</v>
      </c>
      <c r="J345" s="128">
        <v>0.59</v>
      </c>
      <c r="K345" s="128">
        <v>0.05</v>
      </c>
      <c r="L345" s="128">
        <v>0.02</v>
      </c>
      <c r="M345" s="114">
        <f t="shared" si="90"/>
        <v>1.01</v>
      </c>
      <c r="N345" s="35">
        <f t="shared" si="91"/>
        <v>65.346534653465355</v>
      </c>
      <c r="O345" s="35">
        <f t="shared" si="92"/>
        <v>24.752475247524753</v>
      </c>
      <c r="P345" s="35">
        <f t="shared" si="93"/>
        <v>9.9009900990099009</v>
      </c>
      <c r="Q345" s="35">
        <f t="shared" si="94"/>
        <v>0.13636363636363635</v>
      </c>
      <c r="R345" s="35">
        <f t="shared" si="95"/>
        <v>0.2</v>
      </c>
      <c r="S345" s="35">
        <f t="shared" si="96"/>
        <v>0.19047619047619049</v>
      </c>
      <c r="T345" s="35">
        <f t="shared" si="97"/>
        <v>0.25</v>
      </c>
      <c r="U345" s="35">
        <f t="shared" si="98"/>
        <v>0.16</v>
      </c>
      <c r="V345" s="35">
        <f t="shared" si="99"/>
        <v>0.39999999999999997</v>
      </c>
      <c r="W345" s="35"/>
      <c r="X345" s="128">
        <v>0.18</v>
      </c>
      <c r="Y345" s="128">
        <v>0.03</v>
      </c>
      <c r="Z345" s="128">
        <v>0.02</v>
      </c>
      <c r="AA345" s="128">
        <v>0.01</v>
      </c>
      <c r="AB345" s="128">
        <v>0.01</v>
      </c>
      <c r="AC345" s="128">
        <v>0</v>
      </c>
      <c r="AD345" s="128">
        <v>0.06</v>
      </c>
      <c r="AE345" s="128">
        <v>0.04</v>
      </c>
      <c r="AF345" s="128">
        <v>0</v>
      </c>
      <c r="AG345" s="128">
        <v>0</v>
      </c>
      <c r="AH345" s="128">
        <v>0</v>
      </c>
      <c r="AI345" s="128">
        <v>0</v>
      </c>
    </row>
    <row r="346" spans="1:35" x14ac:dyDescent="0.2">
      <c r="A346" s="110" t="s">
        <v>891</v>
      </c>
      <c r="B346" t="s">
        <v>902</v>
      </c>
      <c r="C346" t="s">
        <v>904</v>
      </c>
      <c r="D346" s="35">
        <f t="shared" si="84"/>
        <v>0.09</v>
      </c>
      <c r="E346" s="35">
        <f t="shared" si="85"/>
        <v>0</v>
      </c>
      <c r="F346" s="35">
        <f t="shared" si="86"/>
        <v>0</v>
      </c>
      <c r="G346" s="35">
        <f t="shared" si="87"/>
        <v>0.21</v>
      </c>
      <c r="H346" s="35">
        <f t="shared" si="88"/>
        <v>0.02</v>
      </c>
      <c r="I346" s="35">
        <f t="shared" si="89"/>
        <v>0</v>
      </c>
      <c r="J346" s="128">
        <v>0.6</v>
      </c>
      <c r="K346" s="128">
        <v>0.06</v>
      </c>
      <c r="L346" s="128">
        <v>0.03</v>
      </c>
      <c r="M346" s="114">
        <f t="shared" si="90"/>
        <v>1.01</v>
      </c>
      <c r="N346" s="35">
        <f t="shared" si="91"/>
        <v>68.316831683168317</v>
      </c>
      <c r="O346" s="35">
        <f t="shared" si="92"/>
        <v>22.772277227722771</v>
      </c>
      <c r="P346" s="35">
        <f t="shared" si="93"/>
        <v>8.9108910891089099</v>
      </c>
      <c r="Q346" s="35">
        <f t="shared" si="94"/>
        <v>0.17391304347826086</v>
      </c>
      <c r="R346" s="35">
        <f t="shared" si="95"/>
        <v>8.6956521739130446E-2</v>
      </c>
      <c r="S346" s="35">
        <f t="shared" si="96"/>
        <v>9.5238095238095247E-2</v>
      </c>
      <c r="T346" s="35">
        <f t="shared" si="97"/>
        <v>0</v>
      </c>
      <c r="U346" s="35">
        <f t="shared" si="98"/>
        <v>8.6956521739130446E-2</v>
      </c>
      <c r="V346" s="35">
        <f t="shared" si="99"/>
        <v>0.33333333333333331</v>
      </c>
      <c r="W346" s="35"/>
      <c r="X346" s="128">
        <v>0.19</v>
      </c>
      <c r="Y346" s="128">
        <v>0.02</v>
      </c>
      <c r="Z346" s="128">
        <v>0.02</v>
      </c>
      <c r="AA346" s="128">
        <v>0</v>
      </c>
      <c r="AB346" s="128">
        <v>0</v>
      </c>
      <c r="AC346" s="128">
        <v>0</v>
      </c>
      <c r="AD346" s="128">
        <v>0.06</v>
      </c>
      <c r="AE346" s="128">
        <v>0.03</v>
      </c>
      <c r="AF346" s="128">
        <v>0</v>
      </c>
      <c r="AG346" s="128">
        <v>0</v>
      </c>
      <c r="AH346" s="128">
        <v>0</v>
      </c>
      <c r="AI346" s="128">
        <v>0</v>
      </c>
    </row>
    <row r="347" spans="1:35" x14ac:dyDescent="0.2">
      <c r="A347" s="110" t="s">
        <v>891</v>
      </c>
      <c r="B347" t="s">
        <v>902</v>
      </c>
      <c r="C347" t="s">
        <v>904</v>
      </c>
      <c r="D347" s="35">
        <f t="shared" si="84"/>
        <v>0.1</v>
      </c>
      <c r="E347" s="35">
        <f t="shared" si="85"/>
        <v>0</v>
      </c>
      <c r="F347" s="35">
        <f t="shared" si="86"/>
        <v>0</v>
      </c>
      <c r="G347" s="35">
        <f t="shared" si="87"/>
        <v>0.2</v>
      </c>
      <c r="H347" s="35">
        <f t="shared" si="88"/>
        <v>0.02</v>
      </c>
      <c r="I347" s="35">
        <f t="shared" si="89"/>
        <v>0</v>
      </c>
      <c r="J347" s="128">
        <v>0.61</v>
      </c>
      <c r="K347" s="128">
        <v>0.05</v>
      </c>
      <c r="L347" s="128">
        <v>0.03</v>
      </c>
      <c r="M347" s="114">
        <f t="shared" si="90"/>
        <v>1.01</v>
      </c>
      <c r="N347" s="35">
        <f t="shared" si="91"/>
        <v>68.316831683168317</v>
      </c>
      <c r="O347" s="35">
        <f t="shared" si="92"/>
        <v>21.782178217821784</v>
      </c>
      <c r="P347" s="35">
        <f t="shared" si="93"/>
        <v>9.9009900990099009</v>
      </c>
      <c r="Q347" s="35">
        <f t="shared" si="94"/>
        <v>0.15942028985507245</v>
      </c>
      <c r="R347" s="35">
        <f t="shared" si="95"/>
        <v>9.0909090909090912E-2</v>
      </c>
      <c r="S347" s="35">
        <f t="shared" si="96"/>
        <v>0.10526315789473684</v>
      </c>
      <c r="T347" s="35">
        <f t="shared" si="97"/>
        <v>0</v>
      </c>
      <c r="U347" s="35">
        <f t="shared" si="98"/>
        <v>0.13636363636363635</v>
      </c>
      <c r="V347" s="35">
        <f t="shared" si="99"/>
        <v>0.39999999999999997</v>
      </c>
      <c r="W347" s="35"/>
      <c r="X347" s="128">
        <v>0.17</v>
      </c>
      <c r="Y347" s="128">
        <v>0.03</v>
      </c>
      <c r="Z347" s="128">
        <v>0.02</v>
      </c>
      <c r="AA347" s="128">
        <v>0</v>
      </c>
      <c r="AB347" s="128">
        <v>0</v>
      </c>
      <c r="AC347" s="128">
        <v>0</v>
      </c>
      <c r="AD347" s="128">
        <v>0.06</v>
      </c>
      <c r="AE347" s="128">
        <v>0.04</v>
      </c>
      <c r="AF347" s="128">
        <v>0</v>
      </c>
      <c r="AG347" s="128">
        <v>0</v>
      </c>
      <c r="AH347" s="128">
        <v>0</v>
      </c>
      <c r="AI347" s="128">
        <v>0</v>
      </c>
    </row>
    <row r="348" spans="1:35" x14ac:dyDescent="0.2">
      <c r="A348" s="110" t="s">
        <v>891</v>
      </c>
      <c r="B348" t="s">
        <v>902</v>
      </c>
      <c r="C348" t="s">
        <v>904</v>
      </c>
      <c r="D348" s="35">
        <f t="shared" si="84"/>
        <v>0.1</v>
      </c>
      <c r="E348" s="35">
        <f t="shared" si="85"/>
        <v>0</v>
      </c>
      <c r="F348" s="35">
        <f t="shared" si="86"/>
        <v>0</v>
      </c>
      <c r="G348" s="35">
        <f t="shared" si="87"/>
        <v>0.22</v>
      </c>
      <c r="H348" s="35">
        <f t="shared" si="88"/>
        <v>0</v>
      </c>
      <c r="I348" s="35">
        <f t="shared" si="89"/>
        <v>0</v>
      </c>
      <c r="J348" s="128">
        <v>0.68</v>
      </c>
      <c r="K348" s="128">
        <v>0</v>
      </c>
      <c r="L348" s="128">
        <v>0</v>
      </c>
      <c r="M348" s="114">
        <f t="shared" si="90"/>
        <v>1</v>
      </c>
      <c r="N348" s="35">
        <f t="shared" si="91"/>
        <v>68</v>
      </c>
      <c r="O348" s="35">
        <f t="shared" si="92"/>
        <v>22</v>
      </c>
      <c r="P348" s="35">
        <f t="shared" si="93"/>
        <v>10</v>
      </c>
      <c r="Q348" s="35">
        <f t="shared" si="94"/>
        <v>0</v>
      </c>
      <c r="R348" s="35">
        <f t="shared" si="95"/>
        <v>0</v>
      </c>
      <c r="S348" s="35">
        <f t="shared" si="96"/>
        <v>0</v>
      </c>
      <c r="T348" s="35">
        <f t="shared" si="97"/>
        <v>0</v>
      </c>
      <c r="U348" s="35">
        <f t="shared" si="98"/>
        <v>9.0909090909090912E-2</v>
      </c>
      <c r="V348" s="35">
        <f t="shared" si="99"/>
        <v>0.39999999999999997</v>
      </c>
      <c r="W348" s="35"/>
      <c r="X348" s="128">
        <v>0.2</v>
      </c>
      <c r="Y348" s="128">
        <v>0.02</v>
      </c>
      <c r="Z348" s="128">
        <v>0</v>
      </c>
      <c r="AA348" s="128">
        <v>0</v>
      </c>
      <c r="AB348" s="128">
        <v>0</v>
      </c>
      <c r="AC348" s="128">
        <v>0</v>
      </c>
      <c r="AD348" s="128">
        <v>0.06</v>
      </c>
      <c r="AE348" s="128">
        <v>0.04</v>
      </c>
      <c r="AF348" s="128">
        <v>0</v>
      </c>
      <c r="AG348" s="128">
        <v>0</v>
      </c>
      <c r="AH348" s="128">
        <v>0</v>
      </c>
      <c r="AI348" s="128">
        <v>0</v>
      </c>
    </row>
    <row r="349" spans="1:35" x14ac:dyDescent="0.2">
      <c r="A349" s="110" t="s">
        <v>891</v>
      </c>
      <c r="B349" t="s">
        <v>902</v>
      </c>
      <c r="C349" t="s">
        <v>904</v>
      </c>
      <c r="D349" s="35">
        <f t="shared" si="84"/>
        <v>0.1</v>
      </c>
      <c r="E349" s="35">
        <f t="shared" si="85"/>
        <v>0</v>
      </c>
      <c r="F349" s="35">
        <f t="shared" si="86"/>
        <v>0</v>
      </c>
      <c r="G349" s="35">
        <f t="shared" si="87"/>
        <v>0.16</v>
      </c>
      <c r="H349" s="35">
        <f t="shared" si="88"/>
        <v>0</v>
      </c>
      <c r="I349" s="35">
        <f t="shared" si="89"/>
        <v>0</v>
      </c>
      <c r="J349" s="128">
        <v>0.7</v>
      </c>
      <c r="K349" s="128">
        <v>0.05</v>
      </c>
      <c r="L349" s="128">
        <v>0</v>
      </c>
      <c r="M349" s="114">
        <f t="shared" si="90"/>
        <v>1.01</v>
      </c>
      <c r="N349" s="35">
        <f t="shared" si="91"/>
        <v>74.257425742574256</v>
      </c>
      <c r="O349" s="35">
        <f t="shared" si="92"/>
        <v>15.841584158415841</v>
      </c>
      <c r="P349" s="35">
        <f t="shared" si="93"/>
        <v>9.9009900990099009</v>
      </c>
      <c r="Q349" s="35">
        <f t="shared" si="94"/>
        <v>6.6666666666666666E-2</v>
      </c>
      <c r="R349" s="35">
        <f t="shared" si="95"/>
        <v>0</v>
      </c>
      <c r="S349" s="35">
        <f t="shared" si="96"/>
        <v>0</v>
      </c>
      <c r="T349" s="35"/>
      <c r="U349" s="35">
        <f t="shared" si="98"/>
        <v>0</v>
      </c>
      <c r="V349" s="35">
        <f t="shared" si="99"/>
        <v>0.39999999999999997</v>
      </c>
      <c r="W349" s="35"/>
      <c r="X349" s="128">
        <v>0.16</v>
      </c>
      <c r="Y349" s="128">
        <v>0</v>
      </c>
      <c r="Z349" s="128">
        <v>0</v>
      </c>
      <c r="AA349" s="128">
        <v>0</v>
      </c>
      <c r="AB349" s="128">
        <v>0</v>
      </c>
      <c r="AC349" s="128">
        <v>0</v>
      </c>
      <c r="AD349" s="128">
        <v>0.06</v>
      </c>
      <c r="AE349" s="128">
        <v>0.04</v>
      </c>
      <c r="AF349" s="128">
        <v>0</v>
      </c>
      <c r="AG349" s="128">
        <v>0</v>
      </c>
      <c r="AH349" s="128">
        <v>0</v>
      </c>
      <c r="AI349" s="128">
        <v>0</v>
      </c>
    </row>
    <row r="350" spans="1:35" x14ac:dyDescent="0.2">
      <c r="A350" s="110" t="s">
        <v>981</v>
      </c>
      <c r="B350" t="s">
        <v>902</v>
      </c>
      <c r="C350" t="s">
        <v>904</v>
      </c>
      <c r="D350" s="35">
        <f t="shared" ref="D350:D387" si="100">SUM(AD350:AE350)</f>
        <v>2.9352710584185867E-2</v>
      </c>
      <c r="E350" s="35">
        <f t="shared" ref="E350:E387" si="101">SUM(AF350:AG350)</f>
        <v>0</v>
      </c>
      <c r="F350" s="35">
        <f t="shared" ref="F350:F387" si="102">SUM(AH350:AI350)</f>
        <v>0</v>
      </c>
      <c r="G350" s="35">
        <f t="shared" ref="G350:G387" si="103">SUM(X350:Y350)</f>
        <v>0.12678076297925231</v>
      </c>
      <c r="H350" s="35">
        <f t="shared" ref="H350:H387" si="104">SUM(Z350:AA350)</f>
        <v>0</v>
      </c>
      <c r="I350" s="35">
        <f t="shared" ref="I350:I387" si="105">SUM(AB350:AC350)</f>
        <v>0</v>
      </c>
      <c r="J350" s="35">
        <v>0.7744526245338943</v>
      </c>
      <c r="K350" s="35">
        <v>5.0674060617649869E-2</v>
      </c>
      <c r="L350" s="35">
        <v>1.8739841285017687E-2</v>
      </c>
      <c r="M350" s="114">
        <f t="shared" si="90"/>
        <v>1</v>
      </c>
      <c r="N350" s="35">
        <f t="shared" si="91"/>
        <v>84.386652643656191</v>
      </c>
      <c r="O350" s="35">
        <f t="shared" si="92"/>
        <v>12.67807629792523</v>
      </c>
      <c r="P350" s="35">
        <f t="shared" si="93"/>
        <v>2.9352710584185866</v>
      </c>
      <c r="Q350" s="35">
        <f t="shared" si="94"/>
        <v>0.10446408338998411</v>
      </c>
      <c r="R350" s="35">
        <f t="shared" si="95"/>
        <v>0</v>
      </c>
      <c r="S350" s="35">
        <f t="shared" si="96"/>
        <v>0</v>
      </c>
      <c r="T350" s="35">
        <f t="shared" si="97"/>
        <v>0</v>
      </c>
      <c r="U350" s="35">
        <f t="shared" si="98"/>
        <v>0.17420814479638008</v>
      </c>
      <c r="V350" s="35">
        <f t="shared" si="99"/>
        <v>0.28583061889250816</v>
      </c>
      <c r="X350" s="35">
        <v>0.10469452146476718</v>
      </c>
      <c r="Y350" s="35">
        <v>2.2086241514485131E-2</v>
      </c>
      <c r="Z350" s="35">
        <v>0</v>
      </c>
      <c r="AA350" s="35">
        <v>0</v>
      </c>
      <c r="AB350" s="35">
        <v>0</v>
      </c>
      <c r="AC350" s="35">
        <v>0</v>
      </c>
      <c r="AD350" s="35">
        <v>2.0962807151735346E-2</v>
      </c>
      <c r="AE350" s="35">
        <v>8.3899034324505205E-3</v>
      </c>
      <c r="AF350" s="35">
        <v>0</v>
      </c>
      <c r="AG350" s="35">
        <v>0</v>
      </c>
      <c r="AH350" s="35">
        <v>0</v>
      </c>
      <c r="AI350" s="35">
        <v>0</v>
      </c>
    </row>
    <row r="351" spans="1:35" x14ac:dyDescent="0.2">
      <c r="A351" s="110" t="s">
        <v>981</v>
      </c>
      <c r="B351" t="s">
        <v>902</v>
      </c>
      <c r="C351" t="s">
        <v>904</v>
      </c>
      <c r="D351" s="35">
        <f t="shared" si="100"/>
        <v>3.016812331844302E-2</v>
      </c>
      <c r="E351" s="35">
        <f t="shared" si="101"/>
        <v>3.9518662064264107E-3</v>
      </c>
      <c r="F351" s="35">
        <f t="shared" si="102"/>
        <v>7.9384810365703998E-4</v>
      </c>
      <c r="G351" s="35">
        <f t="shared" si="103"/>
        <v>0.16284468660374216</v>
      </c>
      <c r="H351" s="35">
        <f t="shared" si="104"/>
        <v>1.3520373591930484E-2</v>
      </c>
      <c r="I351" s="35">
        <f t="shared" si="105"/>
        <v>4.6342028176079488E-3</v>
      </c>
      <c r="J351" s="35">
        <v>0.7170852348991168</v>
      </c>
      <c r="K351" s="35">
        <v>4.6752693729105413E-2</v>
      </c>
      <c r="L351" s="35">
        <v>2.0248970729970655E-2</v>
      </c>
      <c r="M351" s="114">
        <f t="shared" si="90"/>
        <v>1</v>
      </c>
      <c r="N351" s="35">
        <f t="shared" si="91"/>
        <v>78.408689935819282</v>
      </c>
      <c r="O351" s="35">
        <f t="shared" si="92"/>
        <v>18.099926301328058</v>
      </c>
      <c r="P351" s="35">
        <f t="shared" si="93"/>
        <v>3.4913837628526472</v>
      </c>
      <c r="Q351" s="35">
        <f t="shared" si="94"/>
        <v>0.11127674146891744</v>
      </c>
      <c r="R351" s="35">
        <f t="shared" si="95"/>
        <v>0.12590537026371362</v>
      </c>
      <c r="S351" s="35">
        <f t="shared" si="96"/>
        <v>0.11135466900482245</v>
      </c>
      <c r="T351" s="35">
        <f t="shared" si="97"/>
        <v>0.18275241928577546</v>
      </c>
      <c r="U351" s="35">
        <f t="shared" si="98"/>
        <v>0.20379775555439206</v>
      </c>
      <c r="V351" s="35">
        <f t="shared" si="99"/>
        <v>0.33658152601720909</v>
      </c>
      <c r="X351" s="35">
        <v>0.131728873547547</v>
      </c>
      <c r="Y351" s="35">
        <v>3.1115813056195159E-2</v>
      </c>
      <c r="Z351" s="35">
        <v>8.7187455873196582E-3</v>
      </c>
      <c r="AA351" s="35">
        <v>4.8016280046108261E-3</v>
      </c>
      <c r="AB351" s="35">
        <v>3.6644003193082625E-3</v>
      </c>
      <c r="AC351" s="35">
        <v>9.6980249829968664E-4</v>
      </c>
      <c r="AD351" s="35">
        <v>2.1607326020748718E-2</v>
      </c>
      <c r="AE351" s="35">
        <v>8.5607972976943017E-3</v>
      </c>
      <c r="AF351" s="35">
        <v>1.2920170091354133E-3</v>
      </c>
      <c r="AG351" s="35">
        <v>2.6598491972909975E-3</v>
      </c>
      <c r="AH351" s="35">
        <v>2.6314185051584329E-4</v>
      </c>
      <c r="AI351" s="35">
        <v>5.3070625314119663E-4</v>
      </c>
    </row>
    <row r="352" spans="1:35" x14ac:dyDescent="0.2">
      <c r="A352" s="110" t="s">
        <v>981</v>
      </c>
      <c r="B352" t="s">
        <v>902</v>
      </c>
      <c r="C352" t="s">
        <v>904</v>
      </c>
      <c r="D352" s="35">
        <f t="shared" si="100"/>
        <v>2.0815718484519064E-2</v>
      </c>
      <c r="E352" s="35">
        <f t="shared" si="101"/>
        <v>0</v>
      </c>
      <c r="F352" s="35">
        <f t="shared" si="102"/>
        <v>0</v>
      </c>
      <c r="G352" s="35">
        <f t="shared" si="103"/>
        <v>0.13152420447987545</v>
      </c>
      <c r="H352" s="35">
        <f t="shared" si="104"/>
        <v>0</v>
      </c>
      <c r="I352" s="35">
        <f t="shared" si="105"/>
        <v>0</v>
      </c>
      <c r="J352" s="35">
        <v>0.78511897572170553</v>
      </c>
      <c r="K352" s="35">
        <v>4.3215095757673364E-2</v>
      </c>
      <c r="L352" s="35">
        <v>1.9326005556226596E-2</v>
      </c>
      <c r="M352" s="114">
        <f t="shared" si="90"/>
        <v>1</v>
      </c>
      <c r="N352" s="35">
        <f t="shared" si="91"/>
        <v>84.766007703560547</v>
      </c>
      <c r="O352" s="35">
        <f t="shared" si="92"/>
        <v>13.152420447987545</v>
      </c>
      <c r="P352" s="35">
        <f t="shared" si="93"/>
        <v>2.0815718484519063</v>
      </c>
      <c r="Q352" s="35">
        <f t="shared" si="94"/>
        <v>9.6580113996200118E-2</v>
      </c>
      <c r="R352" s="35">
        <f t="shared" si="95"/>
        <v>0</v>
      </c>
      <c r="S352" s="35">
        <f t="shared" si="96"/>
        <v>0</v>
      </c>
      <c r="T352" s="35">
        <f t="shared" si="97"/>
        <v>0</v>
      </c>
      <c r="U352" s="35">
        <f t="shared" si="98"/>
        <v>0.16938775510204082</v>
      </c>
      <c r="V352" s="35">
        <f t="shared" si="99"/>
        <v>0.27143778207607994</v>
      </c>
      <c r="X352" s="35">
        <v>0.10924561474144757</v>
      </c>
      <c r="Y352" s="35">
        <v>2.2278589738427883E-2</v>
      </c>
      <c r="Z352" s="35">
        <v>0</v>
      </c>
      <c r="AA352" s="35">
        <v>0</v>
      </c>
      <c r="AB352" s="35">
        <v>0</v>
      </c>
      <c r="AC352" s="35">
        <v>0</v>
      </c>
      <c r="AD352" s="35">
        <v>1.5165546026761149E-2</v>
      </c>
      <c r="AE352" s="35">
        <v>5.6501724577579151E-3</v>
      </c>
      <c r="AF352" s="35">
        <v>0</v>
      </c>
      <c r="AG352" s="35">
        <v>0</v>
      </c>
      <c r="AH352" s="35">
        <v>0</v>
      </c>
      <c r="AI352" s="35">
        <v>0</v>
      </c>
    </row>
    <row r="353" spans="1:35" x14ac:dyDescent="0.2">
      <c r="A353" s="110" t="s">
        <v>981</v>
      </c>
      <c r="B353" t="s">
        <v>902</v>
      </c>
      <c r="C353" t="s">
        <v>904</v>
      </c>
      <c r="D353" s="35">
        <f t="shared" si="100"/>
        <v>2.7295788939624557E-2</v>
      </c>
      <c r="E353" s="35">
        <f t="shared" si="101"/>
        <v>0</v>
      </c>
      <c r="F353" s="35">
        <f t="shared" si="102"/>
        <v>0</v>
      </c>
      <c r="G353" s="35">
        <f t="shared" si="103"/>
        <v>8.9345509893455091E-2</v>
      </c>
      <c r="H353" s="35">
        <f t="shared" si="104"/>
        <v>0</v>
      </c>
      <c r="I353" s="35">
        <f t="shared" si="105"/>
        <v>0</v>
      </c>
      <c r="J353" s="35">
        <v>0.82699137493658037</v>
      </c>
      <c r="K353" s="35">
        <v>4.0334855403348552E-2</v>
      </c>
      <c r="L353" s="35">
        <v>1.6032470826991375E-2</v>
      </c>
      <c r="M353" s="114">
        <f t="shared" si="90"/>
        <v>0.99999999999999989</v>
      </c>
      <c r="N353" s="35">
        <f t="shared" si="91"/>
        <v>88.335870116692035</v>
      </c>
      <c r="O353" s="35">
        <f t="shared" si="92"/>
        <v>8.9345509893455102</v>
      </c>
      <c r="P353" s="35">
        <f t="shared" si="93"/>
        <v>2.7295788939624561</v>
      </c>
      <c r="Q353" s="35">
        <f t="shared" si="94"/>
        <v>8.1959680661650672E-2</v>
      </c>
      <c r="R353" s="35">
        <f t="shared" si="95"/>
        <v>0</v>
      </c>
      <c r="S353" s="35">
        <f t="shared" si="96"/>
        <v>0</v>
      </c>
      <c r="T353" s="35">
        <f t="shared" si="97"/>
        <v>0</v>
      </c>
      <c r="U353" s="35">
        <f t="shared" si="98"/>
        <v>0.15956842703009655</v>
      </c>
      <c r="V353" s="35">
        <f t="shared" si="99"/>
        <v>0.56040892193308545</v>
      </c>
      <c r="X353" s="35">
        <v>7.5088787417554537E-2</v>
      </c>
      <c r="Y353" s="35">
        <v>1.4256722475900558E-2</v>
      </c>
      <c r="Z353" s="35">
        <v>0</v>
      </c>
      <c r="AA353" s="35">
        <v>0</v>
      </c>
      <c r="AB353" s="35">
        <v>0</v>
      </c>
      <c r="AC353" s="35">
        <v>0</v>
      </c>
      <c r="AD353" s="35">
        <v>1.199898528665652E-2</v>
      </c>
      <c r="AE353" s="35">
        <v>1.5296803652968037E-2</v>
      </c>
      <c r="AF353" s="35">
        <v>0</v>
      </c>
      <c r="AG353" s="35">
        <v>0</v>
      </c>
      <c r="AH353" s="35">
        <v>0</v>
      </c>
      <c r="AI353" s="35">
        <v>0</v>
      </c>
    </row>
    <row r="354" spans="1:35" x14ac:dyDescent="0.2">
      <c r="A354" s="110" t="s">
        <v>981</v>
      </c>
      <c r="B354" t="s">
        <v>902</v>
      </c>
      <c r="C354" t="s">
        <v>904</v>
      </c>
      <c r="D354" s="35">
        <f t="shared" si="100"/>
        <v>2.2319036414043755E-2</v>
      </c>
      <c r="E354" s="35">
        <f t="shared" si="101"/>
        <v>0</v>
      </c>
      <c r="F354" s="35">
        <f t="shared" si="102"/>
        <v>0</v>
      </c>
      <c r="G354" s="35">
        <f t="shared" si="103"/>
        <v>0.13027980336882325</v>
      </c>
      <c r="H354" s="35">
        <f t="shared" si="104"/>
        <v>1.3279593691028119E-2</v>
      </c>
      <c r="I354" s="35">
        <f t="shared" si="105"/>
        <v>3.8906879761433262E-3</v>
      </c>
      <c r="J354" s="35">
        <v>0.75949956899564341</v>
      </c>
      <c r="K354" s="35">
        <v>4.8924818861682547E-2</v>
      </c>
      <c r="L354" s="35">
        <v>2.1806490692635652E-2</v>
      </c>
      <c r="M354" s="114">
        <f t="shared" si="90"/>
        <v>1.0000000000000002</v>
      </c>
      <c r="N354" s="35">
        <f t="shared" si="91"/>
        <v>83.023087854996135</v>
      </c>
      <c r="O354" s="35">
        <f t="shared" si="92"/>
        <v>14.745008503599468</v>
      </c>
      <c r="P354" s="35">
        <f t="shared" si="93"/>
        <v>2.2319036414043749</v>
      </c>
      <c r="Q354" s="35">
        <f t="shared" si="94"/>
        <v>0.11146032102368392</v>
      </c>
      <c r="R354" s="35">
        <f t="shared" si="95"/>
        <v>0.14283457102227837</v>
      </c>
      <c r="S354" s="35">
        <f t="shared" si="96"/>
        <v>0.11402196675071584</v>
      </c>
      <c r="T354" s="35">
        <f t="shared" si="97"/>
        <v>0.22459374242056754</v>
      </c>
      <c r="U354" s="35">
        <f t="shared" si="98"/>
        <v>0.26057829040922736</v>
      </c>
      <c r="V354" s="35">
        <f t="shared" si="99"/>
        <v>0.30480167014613779</v>
      </c>
      <c r="X354" s="35">
        <v>9.9247489690841739E-2</v>
      </c>
      <c r="Y354" s="35">
        <v>3.1032313677981503E-2</v>
      </c>
      <c r="Z354" s="35">
        <v>7.1290450341308853E-3</v>
      </c>
      <c r="AA354" s="35">
        <v>6.150548656897235E-3</v>
      </c>
      <c r="AB354" s="35">
        <v>2.6512592316473684E-3</v>
      </c>
      <c r="AC354" s="35">
        <v>1.2394287444959578E-3</v>
      </c>
      <c r="AD354" s="35">
        <v>1.5516156838990752E-2</v>
      </c>
      <c r="AE354" s="35">
        <v>6.8028795750530021E-3</v>
      </c>
      <c r="AF354" s="35">
        <v>0</v>
      </c>
      <c r="AG354" s="35">
        <v>0</v>
      </c>
      <c r="AH354" s="35">
        <v>0</v>
      </c>
      <c r="AI354" s="35">
        <v>0</v>
      </c>
    </row>
    <row r="355" spans="1:35" x14ac:dyDescent="0.2">
      <c r="A355" s="110" t="s">
        <v>981</v>
      </c>
      <c r="B355" t="s">
        <v>902</v>
      </c>
      <c r="C355" t="s">
        <v>904</v>
      </c>
      <c r="D355" s="35">
        <f t="shared" si="100"/>
        <v>1.7591953456266643E-2</v>
      </c>
      <c r="E355" s="35">
        <f t="shared" si="101"/>
        <v>0</v>
      </c>
      <c r="F355" s="35">
        <f t="shared" si="102"/>
        <v>0</v>
      </c>
      <c r="G355" s="35">
        <f t="shared" si="103"/>
        <v>0.10866778424218519</v>
      </c>
      <c r="H355" s="35">
        <f t="shared" si="104"/>
        <v>1.1073858593827039E-2</v>
      </c>
      <c r="I355" s="35">
        <f t="shared" si="105"/>
        <v>5.9461591559017849E-3</v>
      </c>
      <c r="J355" s="35">
        <v>0.79084902869539497</v>
      </c>
      <c r="K355" s="35">
        <v>4.6149294941327287E-2</v>
      </c>
      <c r="L355" s="35">
        <v>1.972192091509713E-2</v>
      </c>
      <c r="M355" s="114">
        <f t="shared" si="90"/>
        <v>1</v>
      </c>
      <c r="N355" s="35">
        <f t="shared" si="91"/>
        <v>85.672024455181941</v>
      </c>
      <c r="O355" s="35">
        <f t="shared" si="92"/>
        <v>12.568780199191401</v>
      </c>
      <c r="P355" s="35">
        <f t="shared" si="93"/>
        <v>1.7591953456266642</v>
      </c>
      <c r="Q355" s="35">
        <f t="shared" si="94"/>
        <v>9.9907918968692458E-2</v>
      </c>
      <c r="R355" s="35">
        <f t="shared" si="95"/>
        <v>0.18272399184057744</v>
      </c>
      <c r="S355" s="35">
        <f t="shared" si="96"/>
        <v>0.14084214893175689</v>
      </c>
      <c r="T355" s="35">
        <f t="shared" si="97"/>
        <v>0.31282216494845355</v>
      </c>
      <c r="U355" s="35">
        <f t="shared" si="98"/>
        <v>0.24352738113918096</v>
      </c>
      <c r="V355" s="35">
        <f t="shared" si="99"/>
        <v>0.3161434977578475</v>
      </c>
      <c r="X355" s="35">
        <v>8.519869835321961E-2</v>
      </c>
      <c r="Y355" s="35">
        <v>2.3469085888965586E-2</v>
      </c>
      <c r="Z355" s="35">
        <v>6.3701804555763731E-3</v>
      </c>
      <c r="AA355" s="35">
        <v>4.7036781382506655E-3</v>
      </c>
      <c r="AB355" s="35">
        <v>3.5105019228872892E-3</v>
      </c>
      <c r="AC355" s="35">
        <v>2.4356572330144956E-3</v>
      </c>
      <c r="AD355" s="35">
        <v>1.203037175820925E-2</v>
      </c>
      <c r="AE355" s="35">
        <v>5.5615816980573909E-3</v>
      </c>
      <c r="AF355" s="35">
        <v>0</v>
      </c>
      <c r="AG355" s="35">
        <v>0</v>
      </c>
      <c r="AH355" s="35">
        <v>0</v>
      </c>
      <c r="AI355" s="35">
        <v>0</v>
      </c>
    </row>
    <row r="356" spans="1:35" x14ac:dyDescent="0.2">
      <c r="A356" s="110" t="s">
        <v>981</v>
      </c>
      <c r="B356" t="s">
        <v>902</v>
      </c>
      <c r="C356" t="s">
        <v>904</v>
      </c>
      <c r="D356" s="35">
        <f t="shared" si="100"/>
        <v>1.734010284027316E-2</v>
      </c>
      <c r="E356" s="35">
        <f t="shared" si="101"/>
        <v>0</v>
      </c>
      <c r="F356" s="35">
        <f t="shared" si="102"/>
        <v>0</v>
      </c>
      <c r="G356" s="35">
        <f t="shared" si="103"/>
        <v>9.1647877500040553E-2</v>
      </c>
      <c r="H356" s="35">
        <f t="shared" si="104"/>
        <v>0</v>
      </c>
      <c r="I356" s="35">
        <f t="shared" si="105"/>
        <v>0</v>
      </c>
      <c r="J356" s="35">
        <v>0.82564194066408214</v>
      </c>
      <c r="K356" s="35">
        <v>4.5742834433648558E-2</v>
      </c>
      <c r="L356" s="35">
        <v>1.9627244561955588E-2</v>
      </c>
      <c r="M356" s="114">
        <f t="shared" si="90"/>
        <v>1</v>
      </c>
      <c r="N356" s="35">
        <f t="shared" si="91"/>
        <v>89.101201965968642</v>
      </c>
      <c r="O356" s="35">
        <f t="shared" si="92"/>
        <v>9.1647877500040558</v>
      </c>
      <c r="P356" s="35">
        <f t="shared" si="93"/>
        <v>1.7340102840273159</v>
      </c>
      <c r="Q356" s="35">
        <f t="shared" si="94"/>
        <v>9.5394137993810302E-2</v>
      </c>
      <c r="R356" s="35">
        <f t="shared" si="95"/>
        <v>0</v>
      </c>
      <c r="S356" s="35">
        <f t="shared" si="96"/>
        <v>0</v>
      </c>
      <c r="T356" s="35">
        <f t="shared" si="97"/>
        <v>0</v>
      </c>
      <c r="U356" s="35">
        <f t="shared" si="98"/>
        <v>0.21415929203539824</v>
      </c>
      <c r="V356" s="35">
        <f t="shared" si="99"/>
        <v>0.22825070159027128</v>
      </c>
      <c r="X356" s="35">
        <v>7.2020632938084958E-2</v>
      </c>
      <c r="Y356" s="35">
        <v>1.9627244561955588E-2</v>
      </c>
      <c r="Z356" s="35">
        <v>0</v>
      </c>
      <c r="AA356" s="35">
        <v>0</v>
      </c>
      <c r="AB356" s="35">
        <v>0</v>
      </c>
      <c r="AC356" s="35">
        <v>0</v>
      </c>
      <c r="AD356" s="35">
        <v>1.3382212201333355E-2</v>
      </c>
      <c r="AE356" s="35">
        <v>3.9578906389398042E-3</v>
      </c>
      <c r="AF356" s="35">
        <v>0</v>
      </c>
      <c r="AG356" s="35">
        <v>0</v>
      </c>
      <c r="AH356" s="35">
        <v>0</v>
      </c>
      <c r="AI356" s="35">
        <v>0</v>
      </c>
    </row>
    <row r="357" spans="1:35" x14ac:dyDescent="0.2">
      <c r="A357" s="110" t="s">
        <v>981</v>
      </c>
      <c r="B357" t="s">
        <v>902</v>
      </c>
      <c r="C357" t="s">
        <v>904</v>
      </c>
      <c r="D357" s="35">
        <f t="shared" si="100"/>
        <v>2.8846339625557896E-2</v>
      </c>
      <c r="E357" s="35">
        <f t="shared" si="101"/>
        <v>0</v>
      </c>
      <c r="F357" s="35">
        <f t="shared" si="102"/>
        <v>0</v>
      </c>
      <c r="G357" s="35">
        <f t="shared" si="103"/>
        <v>0.1195973491508395</v>
      </c>
      <c r="H357" s="35">
        <f t="shared" si="104"/>
        <v>0</v>
      </c>
      <c r="I357" s="35">
        <f t="shared" si="105"/>
        <v>0</v>
      </c>
      <c r="J357" s="35">
        <v>0.79023127306451302</v>
      </c>
      <c r="K357" s="35">
        <v>4.327916996734741E-2</v>
      </c>
      <c r="L357" s="35">
        <v>1.8045868191742181E-2</v>
      </c>
      <c r="M357" s="114">
        <f t="shared" si="90"/>
        <v>1</v>
      </c>
      <c r="N357" s="35">
        <f t="shared" si="91"/>
        <v>85.155631122360248</v>
      </c>
      <c r="O357" s="35">
        <f t="shared" si="92"/>
        <v>11.959734915083949</v>
      </c>
      <c r="P357" s="35">
        <f t="shared" si="93"/>
        <v>2.8846339625557897</v>
      </c>
      <c r="Q357" s="35">
        <f t="shared" si="94"/>
        <v>9.3206879339293017E-2</v>
      </c>
      <c r="R357" s="35">
        <f t="shared" si="95"/>
        <v>0</v>
      </c>
      <c r="S357" s="35">
        <f t="shared" si="96"/>
        <v>0</v>
      </c>
      <c r="T357" s="35">
        <f t="shared" si="97"/>
        <v>0</v>
      </c>
      <c r="U357" s="35">
        <f t="shared" si="98"/>
        <v>0.22617124394184168</v>
      </c>
      <c r="V357" s="35">
        <f t="shared" si="99"/>
        <v>0.1895512391158741</v>
      </c>
      <c r="X357" s="35">
        <v>9.2547867921247362E-2</v>
      </c>
      <c r="Y357" s="35">
        <v>2.7049481229592134E-2</v>
      </c>
      <c r="Z357" s="35">
        <v>0</v>
      </c>
      <c r="AA357" s="35">
        <v>0</v>
      </c>
      <c r="AB357" s="35">
        <v>0</v>
      </c>
      <c r="AC357" s="35">
        <v>0</v>
      </c>
      <c r="AD357" s="35">
        <v>2.3378480205576056E-2</v>
      </c>
      <c r="AE357" s="35">
        <v>5.4678594199818386E-3</v>
      </c>
      <c r="AF357" s="35">
        <v>0</v>
      </c>
      <c r="AG357" s="35">
        <v>0</v>
      </c>
      <c r="AH357" s="35">
        <v>0</v>
      </c>
      <c r="AI357" s="35">
        <v>0</v>
      </c>
    </row>
    <row r="358" spans="1:35" x14ac:dyDescent="0.2">
      <c r="A358" s="110" t="s">
        <v>981</v>
      </c>
      <c r="B358" t="s">
        <v>902</v>
      </c>
      <c r="C358" t="s">
        <v>904</v>
      </c>
      <c r="D358" s="35">
        <f t="shared" si="100"/>
        <v>1.0924753266016315E-2</v>
      </c>
      <c r="E358" s="35">
        <f t="shared" si="101"/>
        <v>0</v>
      </c>
      <c r="F358" s="35">
        <f t="shared" si="102"/>
        <v>0</v>
      </c>
      <c r="G358" s="35">
        <f t="shared" si="103"/>
        <v>8.9423241485538249E-2</v>
      </c>
      <c r="H358" s="35">
        <f t="shared" si="104"/>
        <v>0</v>
      </c>
      <c r="I358" s="35">
        <f t="shared" si="105"/>
        <v>0</v>
      </c>
      <c r="J358" s="35">
        <v>0.83290547093388101</v>
      </c>
      <c r="K358" s="35">
        <v>4.7635347139026757E-2</v>
      </c>
      <c r="L358" s="35">
        <v>1.911118717553768E-2</v>
      </c>
      <c r="M358" s="114">
        <f t="shared" si="90"/>
        <v>1</v>
      </c>
      <c r="N358" s="35">
        <f t="shared" si="91"/>
        <v>89.965200524844548</v>
      </c>
      <c r="O358" s="35">
        <f t="shared" si="92"/>
        <v>8.9423241485538245</v>
      </c>
      <c r="P358" s="35">
        <f t="shared" si="93"/>
        <v>1.0924753266016316</v>
      </c>
      <c r="Q358" s="35">
        <f t="shared" si="94"/>
        <v>9.5434369055168042E-2</v>
      </c>
      <c r="R358" s="35">
        <f t="shared" si="95"/>
        <v>0</v>
      </c>
      <c r="S358" s="35">
        <f t="shared" si="96"/>
        <v>0</v>
      </c>
      <c r="T358" s="35">
        <f t="shared" si="97"/>
        <v>0</v>
      </c>
      <c r="U358" s="35">
        <f t="shared" si="98"/>
        <v>0.23923444976076555</v>
      </c>
      <c r="V358" s="35">
        <f t="shared" si="99"/>
        <v>0.22715404699738906</v>
      </c>
      <c r="X358" s="35">
        <v>6.803012151292144E-2</v>
      </c>
      <c r="Y358" s="35">
        <v>2.1393119972616805E-2</v>
      </c>
      <c r="Z358" s="35">
        <v>0</v>
      </c>
      <c r="AA358" s="35">
        <v>0</v>
      </c>
      <c r="AB358" s="35">
        <v>0</v>
      </c>
      <c r="AC358" s="35">
        <v>0</v>
      </c>
      <c r="AD358" s="35">
        <v>8.4431513491927662E-3</v>
      </c>
      <c r="AE358" s="35">
        <v>2.4816019168235498E-3</v>
      </c>
      <c r="AF358" s="35">
        <v>0</v>
      </c>
      <c r="AG358" s="35">
        <v>0</v>
      </c>
      <c r="AH358" s="35">
        <v>0</v>
      </c>
      <c r="AI358" s="35">
        <v>0</v>
      </c>
    </row>
    <row r="359" spans="1:35" x14ac:dyDescent="0.2">
      <c r="A359" s="110" t="s">
        <v>981</v>
      </c>
      <c r="B359" t="s">
        <v>902</v>
      </c>
      <c r="C359" t="s">
        <v>904</v>
      </c>
      <c r="D359" s="35">
        <f t="shared" si="100"/>
        <v>1.387842740015411E-2</v>
      </c>
      <c r="E359" s="35">
        <f t="shared" si="101"/>
        <v>0</v>
      </c>
      <c r="F359" s="35">
        <f t="shared" si="102"/>
        <v>0</v>
      </c>
      <c r="G359" s="35">
        <f t="shared" si="103"/>
        <v>0.10025713617828108</v>
      </c>
      <c r="H359" s="35">
        <f t="shared" si="104"/>
        <v>0</v>
      </c>
      <c r="I359" s="35">
        <f t="shared" si="105"/>
        <v>0</v>
      </c>
      <c r="J359" s="35">
        <v>0.83720769157511066</v>
      </c>
      <c r="K359" s="35">
        <v>4.8656744846454207E-2</v>
      </c>
      <c r="L359" s="35">
        <v>0</v>
      </c>
      <c r="M359" s="114">
        <f t="shared" si="90"/>
        <v>1</v>
      </c>
      <c r="N359" s="35">
        <f t="shared" si="91"/>
        <v>88.586443642156482</v>
      </c>
      <c r="O359" s="35">
        <f t="shared" si="92"/>
        <v>10.025713617828108</v>
      </c>
      <c r="P359" s="35">
        <f t="shared" si="93"/>
        <v>1.387842740015411</v>
      </c>
      <c r="Q359" s="35">
        <f t="shared" si="94"/>
        <v>5.4925723221266612E-2</v>
      </c>
      <c r="R359" s="35">
        <f t="shared" si="95"/>
        <v>0</v>
      </c>
      <c r="S359" s="35">
        <f t="shared" si="96"/>
        <v>0</v>
      </c>
      <c r="T359" s="35">
        <f t="shared" si="97"/>
        <v>0</v>
      </c>
      <c r="U359" s="35">
        <f t="shared" si="98"/>
        <v>0.22625215889464595</v>
      </c>
      <c r="V359" s="35">
        <f t="shared" si="99"/>
        <v>0.32002495321272612</v>
      </c>
      <c r="X359" s="35">
        <v>7.7573742673350474E-2</v>
      </c>
      <c r="Y359" s="35">
        <v>2.2683393504930607E-2</v>
      </c>
      <c r="Z359" s="35">
        <v>0</v>
      </c>
      <c r="AA359" s="35">
        <v>0</v>
      </c>
      <c r="AB359" s="35">
        <v>0</v>
      </c>
      <c r="AC359" s="35">
        <v>0</v>
      </c>
      <c r="AD359" s="35">
        <v>9.4369843207535737E-3</v>
      </c>
      <c r="AE359" s="35">
        <v>4.4414430794005354E-3</v>
      </c>
      <c r="AF359" s="35">
        <v>0</v>
      </c>
      <c r="AG359" s="35">
        <v>0</v>
      </c>
      <c r="AH359" s="35">
        <v>0</v>
      </c>
      <c r="AI359" s="35">
        <v>0</v>
      </c>
    </row>
    <row r="360" spans="1:35" x14ac:dyDescent="0.2">
      <c r="A360" s="110" t="s">
        <v>981</v>
      </c>
      <c r="B360" t="s">
        <v>902</v>
      </c>
      <c r="C360" t="s">
        <v>904</v>
      </c>
      <c r="D360" s="35">
        <f t="shared" si="100"/>
        <v>1.5876039016692288E-2</v>
      </c>
      <c r="E360" s="35">
        <f t="shared" si="101"/>
        <v>0</v>
      </c>
      <c r="F360" s="35">
        <f t="shared" si="102"/>
        <v>0</v>
      </c>
      <c r="G360" s="35">
        <f t="shared" si="103"/>
        <v>0.10135089175180595</v>
      </c>
      <c r="H360" s="35">
        <f t="shared" si="104"/>
        <v>0</v>
      </c>
      <c r="I360" s="35">
        <f t="shared" si="105"/>
        <v>0</v>
      </c>
      <c r="J360" s="35">
        <v>0.80128423143374106</v>
      </c>
      <c r="K360" s="35">
        <v>5.8769913069503583E-2</v>
      </c>
      <c r="L360" s="35">
        <v>2.2718924728257171E-2</v>
      </c>
      <c r="M360" s="114">
        <f t="shared" si="90"/>
        <v>1</v>
      </c>
      <c r="N360" s="35">
        <f t="shared" si="91"/>
        <v>88.277306923150192</v>
      </c>
      <c r="O360" s="35">
        <f t="shared" si="92"/>
        <v>10.135089175180594</v>
      </c>
      <c r="P360" s="35">
        <f t="shared" si="93"/>
        <v>1.5876039016692287</v>
      </c>
      <c r="Q360" s="35">
        <f t="shared" si="94"/>
        <v>0.11804592387116658</v>
      </c>
      <c r="R360" s="35">
        <f t="shared" si="95"/>
        <v>0</v>
      </c>
      <c r="S360" s="35">
        <f t="shared" si="96"/>
        <v>0</v>
      </c>
      <c r="T360" s="35">
        <f t="shared" si="97"/>
        <v>0</v>
      </c>
      <c r="U360" s="35">
        <f t="shared" si="98"/>
        <v>0.20134228187919462</v>
      </c>
      <c r="V360" s="35">
        <f t="shared" si="99"/>
        <v>0.25535561268209084</v>
      </c>
      <c r="X360" s="35">
        <v>8.0944671936006088E-2</v>
      </c>
      <c r="Y360" s="35">
        <v>2.0406219815799855E-2</v>
      </c>
      <c r="Z360" s="35">
        <v>0</v>
      </c>
      <c r="AA360" s="35">
        <v>0</v>
      </c>
      <c r="AB360" s="35">
        <v>0</v>
      </c>
      <c r="AC360" s="35">
        <v>0</v>
      </c>
      <c r="AD360" s="35">
        <v>1.182200334662005E-2</v>
      </c>
      <c r="AE360" s="35">
        <v>4.0540356700722383E-3</v>
      </c>
      <c r="AF360" s="35">
        <v>0</v>
      </c>
      <c r="AG360" s="35">
        <v>0</v>
      </c>
      <c r="AH360" s="35">
        <v>0</v>
      </c>
      <c r="AI360" s="35">
        <v>0</v>
      </c>
    </row>
    <row r="361" spans="1:35" x14ac:dyDescent="0.2">
      <c r="A361" s="110" t="s">
        <v>981</v>
      </c>
      <c r="B361" t="s">
        <v>902</v>
      </c>
      <c r="C361" t="s">
        <v>904</v>
      </c>
      <c r="D361" s="35">
        <f t="shared" si="100"/>
        <v>1.1728978157833681E-2</v>
      </c>
      <c r="E361" s="35">
        <f t="shared" si="101"/>
        <v>0</v>
      </c>
      <c r="F361" s="35">
        <f t="shared" si="102"/>
        <v>0</v>
      </c>
      <c r="G361" s="35">
        <f t="shared" si="103"/>
        <v>8.6134035994829466E-2</v>
      </c>
      <c r="H361" s="35">
        <f t="shared" si="104"/>
        <v>7.7350767293096027E-3</v>
      </c>
      <c r="I361" s="35">
        <f t="shared" si="105"/>
        <v>0</v>
      </c>
      <c r="J361" s="35">
        <v>0.83689635742931956</v>
      </c>
      <c r="K361" s="35">
        <v>4.093334659109741E-2</v>
      </c>
      <c r="L361" s="35">
        <v>1.6572205097610287E-2</v>
      </c>
      <c r="M361" s="114">
        <f t="shared" si="90"/>
        <v>0.99999999999999989</v>
      </c>
      <c r="N361" s="35">
        <f t="shared" si="91"/>
        <v>89.440190911802731</v>
      </c>
      <c r="O361" s="35">
        <f t="shared" si="92"/>
        <v>9.3869112724139079</v>
      </c>
      <c r="P361" s="35">
        <f t="shared" si="93"/>
        <v>1.1728978157833683</v>
      </c>
      <c r="Q361" s="35">
        <f t="shared" si="94"/>
        <v>8.2823790994997218E-2</v>
      </c>
      <c r="R361" s="35">
        <f t="shared" si="95"/>
        <v>8.2402789424901812E-2</v>
      </c>
      <c r="S361" s="35">
        <f t="shared" si="96"/>
        <v>6.3564131668558468E-2</v>
      </c>
      <c r="T361" s="35">
        <f t="shared" si="97"/>
        <v>0.14830256104824299</v>
      </c>
      <c r="U361" s="35">
        <f t="shared" si="98"/>
        <v>0.22231539921437085</v>
      </c>
      <c r="V361" s="35">
        <f t="shared" si="99"/>
        <v>0.24408336276933945</v>
      </c>
      <c r="X361" s="35">
        <v>6.8360346027642432E-2</v>
      </c>
      <c r="Y361" s="35">
        <v>1.7773689967187034E-2</v>
      </c>
      <c r="Z361" s="35">
        <v>4.6402174273308811E-3</v>
      </c>
      <c r="AA361" s="35">
        <v>3.0948593019787213E-3</v>
      </c>
      <c r="AB361" s="35">
        <v>0</v>
      </c>
      <c r="AC361" s="35">
        <v>0</v>
      </c>
      <c r="AD361" s="35">
        <v>8.8661297272215039E-3</v>
      </c>
      <c r="AE361" s="35">
        <v>2.8628484306121773E-3</v>
      </c>
      <c r="AF361" s="35">
        <v>0</v>
      </c>
      <c r="AG361" s="35">
        <v>0</v>
      </c>
      <c r="AH361" s="35">
        <v>0</v>
      </c>
      <c r="AI361" s="35">
        <v>0</v>
      </c>
    </row>
    <row r="362" spans="1:35" x14ac:dyDescent="0.2">
      <c r="A362" s="110" t="s">
        <v>981</v>
      </c>
      <c r="B362" t="s">
        <v>902</v>
      </c>
      <c r="C362" t="s">
        <v>904</v>
      </c>
      <c r="D362" s="35">
        <f t="shared" si="100"/>
        <v>9.7137453795237694E-3</v>
      </c>
      <c r="E362" s="35">
        <f t="shared" si="101"/>
        <v>0</v>
      </c>
      <c r="F362" s="35">
        <f t="shared" si="102"/>
        <v>0</v>
      </c>
      <c r="G362" s="35">
        <f t="shared" si="103"/>
        <v>7.8471343837113627E-2</v>
      </c>
      <c r="H362" s="35">
        <f t="shared" si="104"/>
        <v>0</v>
      </c>
      <c r="I362" s="35">
        <f t="shared" si="105"/>
        <v>0</v>
      </c>
      <c r="J362" s="35">
        <v>0.84857118296471856</v>
      </c>
      <c r="K362" s="35">
        <v>4.6174061475359504E-2</v>
      </c>
      <c r="L362" s="35">
        <v>1.7069666343284499E-2</v>
      </c>
      <c r="M362" s="114">
        <f t="shared" si="90"/>
        <v>1</v>
      </c>
      <c r="N362" s="35">
        <f t="shared" si="91"/>
        <v>91.181491078336265</v>
      </c>
      <c r="O362" s="35">
        <f t="shared" si="92"/>
        <v>7.8471343837113627</v>
      </c>
      <c r="P362" s="35">
        <f t="shared" si="93"/>
        <v>0.97137453795237694</v>
      </c>
      <c r="Q362" s="35">
        <f t="shared" si="94"/>
        <v>8.8080808080808079E-2</v>
      </c>
      <c r="R362" s="35">
        <f t="shared" si="95"/>
        <v>0</v>
      </c>
      <c r="S362" s="35">
        <f t="shared" si="96"/>
        <v>0</v>
      </c>
      <c r="T362" s="35">
        <f t="shared" si="97"/>
        <v>0</v>
      </c>
      <c r="U362" s="35">
        <f t="shared" si="98"/>
        <v>0.25665101721439748</v>
      </c>
      <c r="V362" s="35">
        <f t="shared" si="99"/>
        <v>0.25790139064475343</v>
      </c>
      <c r="X362" s="35">
        <v>5.8331593619137673E-2</v>
      </c>
      <c r="Y362" s="35">
        <v>2.0139750217975955E-2</v>
      </c>
      <c r="Z362" s="35">
        <v>0</v>
      </c>
      <c r="AA362" s="35">
        <v>0</v>
      </c>
      <c r="AB362" s="35">
        <v>0</v>
      </c>
      <c r="AC362" s="35">
        <v>0</v>
      </c>
      <c r="AD362" s="35">
        <v>7.20855693777554E-3</v>
      </c>
      <c r="AE362" s="35">
        <v>2.5051884417482285E-3</v>
      </c>
      <c r="AF362" s="35">
        <v>0</v>
      </c>
      <c r="AG362" s="35">
        <v>0</v>
      </c>
      <c r="AH362" s="35">
        <v>0</v>
      </c>
      <c r="AI362" s="35">
        <v>0</v>
      </c>
    </row>
    <row r="363" spans="1:35" x14ac:dyDescent="0.2">
      <c r="A363" s="110" t="s">
        <v>981</v>
      </c>
      <c r="B363" t="s">
        <v>902</v>
      </c>
      <c r="C363" t="s">
        <v>904</v>
      </c>
      <c r="D363" s="35">
        <f t="shared" si="100"/>
        <v>8.8475443799000686E-3</v>
      </c>
      <c r="E363" s="35">
        <f t="shared" si="101"/>
        <v>0</v>
      </c>
      <c r="F363" s="35">
        <f t="shared" si="102"/>
        <v>0</v>
      </c>
      <c r="G363" s="35">
        <f t="shared" si="103"/>
        <v>7.8726083600763691E-2</v>
      </c>
      <c r="H363" s="35">
        <f t="shared" si="104"/>
        <v>6.6295649348011533E-3</v>
      </c>
      <c r="I363" s="35">
        <f t="shared" si="105"/>
        <v>0</v>
      </c>
      <c r="J363" s="35">
        <v>0.84494455051387252</v>
      </c>
      <c r="K363" s="35">
        <v>4.29784295405614E-2</v>
      </c>
      <c r="L363" s="35">
        <v>1.7873827030101149E-2</v>
      </c>
      <c r="M363" s="114">
        <f t="shared" si="90"/>
        <v>0.99999999999999989</v>
      </c>
      <c r="N363" s="35">
        <f t="shared" si="91"/>
        <v>90.579680708453509</v>
      </c>
      <c r="O363" s="35">
        <f t="shared" si="92"/>
        <v>8.5355648535564868</v>
      </c>
      <c r="P363" s="35">
        <f t="shared" si="93"/>
        <v>0.88475443799000708</v>
      </c>
      <c r="Q363" s="35">
        <f t="shared" si="94"/>
        <v>8.6913624540317508E-2</v>
      </c>
      <c r="R363" s="35">
        <f t="shared" si="95"/>
        <v>7.7669902912621352E-2</v>
      </c>
      <c r="S363" s="35">
        <f t="shared" si="96"/>
        <v>6.3878039561547181E-2</v>
      </c>
      <c r="T363" s="35">
        <f t="shared" si="97"/>
        <v>0.12028026469443363</v>
      </c>
      <c r="U363" s="35">
        <f t="shared" si="98"/>
        <v>0.24452693698838759</v>
      </c>
      <c r="V363" s="35">
        <f t="shared" si="99"/>
        <v>0.26905417814508725</v>
      </c>
      <c r="X363" s="35">
        <v>6.0364788560750698E-2</v>
      </c>
      <c r="Y363" s="35">
        <v>1.8361295040013E-2</v>
      </c>
      <c r="Z363" s="35">
        <v>4.1191046837551282E-3</v>
      </c>
      <c r="AA363" s="35">
        <v>2.5104602510460251E-3</v>
      </c>
      <c r="AB363" s="35">
        <v>0</v>
      </c>
      <c r="AC363" s="35">
        <v>0</v>
      </c>
      <c r="AD363" s="35">
        <v>6.4670755981638701E-3</v>
      </c>
      <c r="AE363" s="35">
        <v>2.3804687817361985E-3</v>
      </c>
      <c r="AF363" s="35">
        <v>0</v>
      </c>
      <c r="AG363" s="35">
        <v>0</v>
      </c>
      <c r="AH363" s="35">
        <v>0</v>
      </c>
      <c r="AI363" s="35">
        <v>0</v>
      </c>
    </row>
    <row r="364" spans="1:35" x14ac:dyDescent="0.2">
      <c r="A364" s="110" t="s">
        <v>981</v>
      </c>
      <c r="B364" t="s">
        <v>902</v>
      </c>
      <c r="C364" t="s">
        <v>904</v>
      </c>
      <c r="D364" s="35">
        <f t="shared" si="100"/>
        <v>1.2369078587075576E-2</v>
      </c>
      <c r="E364" s="35">
        <f t="shared" si="101"/>
        <v>0</v>
      </c>
      <c r="F364" s="35">
        <f t="shared" si="102"/>
        <v>0</v>
      </c>
      <c r="G364" s="35">
        <f t="shared" si="103"/>
        <v>9.3912582146768897E-2</v>
      </c>
      <c r="H364" s="35">
        <f t="shared" si="104"/>
        <v>9.9132324753559691E-3</v>
      </c>
      <c r="I364" s="35">
        <f t="shared" si="105"/>
        <v>0</v>
      </c>
      <c r="J364" s="35">
        <v>0.8214676889375685</v>
      </c>
      <c r="K364" s="35">
        <v>4.4068318729463304E-2</v>
      </c>
      <c r="L364" s="35">
        <v>1.8269099123767799E-2</v>
      </c>
      <c r="M364" s="114">
        <f t="shared" si="90"/>
        <v>1</v>
      </c>
      <c r="N364" s="35">
        <f t="shared" si="91"/>
        <v>88.380510679079961</v>
      </c>
      <c r="O364" s="35">
        <f t="shared" si="92"/>
        <v>10.382581462212487</v>
      </c>
      <c r="P364" s="35">
        <f t="shared" si="93"/>
        <v>1.2369078587075577</v>
      </c>
      <c r="Q364" s="35">
        <f t="shared" si="94"/>
        <v>9.1203950234787237E-2</v>
      </c>
      <c r="R364" s="35">
        <f t="shared" si="95"/>
        <v>9.5479457699756867E-2</v>
      </c>
      <c r="S364" s="35">
        <f t="shared" si="96"/>
        <v>7.8366445916114788E-2</v>
      </c>
      <c r="T364" s="35">
        <f t="shared" si="97"/>
        <v>0.14592484138604195</v>
      </c>
      <c r="U364" s="35">
        <f t="shared" si="98"/>
        <v>0.25330696006922981</v>
      </c>
      <c r="V364" s="35">
        <f t="shared" si="99"/>
        <v>0.23901764095468694</v>
      </c>
      <c r="X364" s="35">
        <v>7.1450575027382252E-2</v>
      </c>
      <c r="Y364" s="35">
        <v>2.2462007119386639E-2</v>
      </c>
      <c r="Z364" s="35">
        <v>6.0754381161007669E-3</v>
      </c>
      <c r="AA364" s="35">
        <v>3.8377943592552027E-3</v>
      </c>
      <c r="AB364" s="35">
        <v>0</v>
      </c>
      <c r="AC364" s="35">
        <v>0</v>
      </c>
      <c r="AD364" s="35">
        <v>9.4126506024096394E-3</v>
      </c>
      <c r="AE364" s="35">
        <v>2.9564279846659366E-3</v>
      </c>
      <c r="AF364" s="35">
        <v>0</v>
      </c>
      <c r="AG364" s="35">
        <v>0</v>
      </c>
      <c r="AH364" s="35">
        <v>0</v>
      </c>
      <c r="AI364" s="35">
        <v>0</v>
      </c>
    </row>
    <row r="365" spans="1:35" x14ac:dyDescent="0.2">
      <c r="A365" s="110" t="s">
        <v>981</v>
      </c>
      <c r="B365" t="s">
        <v>902</v>
      </c>
      <c r="C365" t="s">
        <v>904</v>
      </c>
      <c r="D365" s="35">
        <f t="shared" si="100"/>
        <v>1.4504970641241788E-2</v>
      </c>
      <c r="E365" s="35">
        <f t="shared" si="101"/>
        <v>0</v>
      </c>
      <c r="F365" s="35">
        <f t="shared" si="102"/>
        <v>0</v>
      </c>
      <c r="G365" s="35">
        <f t="shared" si="103"/>
        <v>9.7765633780981714E-2</v>
      </c>
      <c r="H365" s="35">
        <f t="shared" si="104"/>
        <v>8.0324787318566751E-3</v>
      </c>
      <c r="I365" s="35">
        <f t="shared" si="105"/>
        <v>0</v>
      </c>
      <c r="J365" s="35">
        <v>0.81875084781892526</v>
      </c>
      <c r="K365" s="35">
        <v>4.4328818091971395E-2</v>
      </c>
      <c r="L365" s="35">
        <v>1.6617250935023156E-2</v>
      </c>
      <c r="M365" s="114">
        <f t="shared" si="90"/>
        <v>1</v>
      </c>
      <c r="N365" s="35">
        <f t="shared" si="91"/>
        <v>87.969691684591993</v>
      </c>
      <c r="O365" s="35">
        <f t="shared" si="92"/>
        <v>10.579811251283838</v>
      </c>
      <c r="P365" s="35">
        <f t="shared" si="93"/>
        <v>1.4504970641241788</v>
      </c>
      <c r="Q365" s="35">
        <f t="shared" si="94"/>
        <v>8.8170503359400798E-2</v>
      </c>
      <c r="R365" s="35">
        <f t="shared" si="95"/>
        <v>7.5922703544280629E-2</v>
      </c>
      <c r="S365" s="35">
        <f t="shared" si="96"/>
        <v>5.9621289662231333E-2</v>
      </c>
      <c r="T365" s="35">
        <f t="shared" si="97"/>
        <v>0.11698356429262004</v>
      </c>
      <c r="U365" s="35">
        <f t="shared" si="98"/>
        <v>0.28418353329059443</v>
      </c>
      <c r="V365" s="35">
        <f t="shared" si="99"/>
        <v>0.26519706078824318</v>
      </c>
      <c r="X365" s="35">
        <v>7.1216789721527812E-2</v>
      </c>
      <c r="Y365" s="35">
        <v>2.6548844059453909E-2</v>
      </c>
      <c r="Z365" s="35">
        <v>4.5152413619363218E-3</v>
      </c>
      <c r="AA365" s="35">
        <v>3.5172373699203533E-3</v>
      </c>
      <c r="AB365" s="35">
        <v>0</v>
      </c>
      <c r="AC365" s="35">
        <v>0</v>
      </c>
      <c r="AD365" s="35">
        <v>1.0658295060364708E-2</v>
      </c>
      <c r="AE365" s="35">
        <v>3.8466755808770807E-3</v>
      </c>
      <c r="AF365" s="35">
        <v>0</v>
      </c>
      <c r="AG365" s="35">
        <v>0</v>
      </c>
      <c r="AH365" s="35">
        <v>0</v>
      </c>
      <c r="AI365" s="35">
        <v>0</v>
      </c>
    </row>
    <row r="366" spans="1:35" x14ac:dyDescent="0.2">
      <c r="A366" s="110" t="s">
        <v>981</v>
      </c>
      <c r="B366" t="s">
        <v>902</v>
      </c>
      <c r="C366" t="s">
        <v>904</v>
      </c>
      <c r="D366" s="35">
        <f t="shared" si="100"/>
        <v>1.0590618993695957E-2</v>
      </c>
      <c r="E366" s="35">
        <f t="shared" si="101"/>
        <v>0</v>
      </c>
      <c r="F366" s="35">
        <f t="shared" si="102"/>
        <v>0</v>
      </c>
      <c r="G366" s="35">
        <f t="shared" si="103"/>
        <v>8.3952674120449308E-2</v>
      </c>
      <c r="H366" s="35">
        <f t="shared" si="104"/>
        <v>7.6620373383314462E-3</v>
      </c>
      <c r="I366" s="35">
        <f t="shared" si="105"/>
        <v>0</v>
      </c>
      <c r="J366" s="35">
        <v>0.83735742145977865</v>
      </c>
      <c r="K366" s="35">
        <v>4.3820258843231936E-2</v>
      </c>
      <c r="L366" s="35">
        <v>1.6616989244512707E-2</v>
      </c>
      <c r="M366" s="114">
        <f t="shared" si="90"/>
        <v>1</v>
      </c>
      <c r="N366" s="35">
        <f t="shared" si="91"/>
        <v>89.779466954752323</v>
      </c>
      <c r="O366" s="35">
        <f t="shared" si="92"/>
        <v>9.1614711458780747</v>
      </c>
      <c r="P366" s="35">
        <f t="shared" si="93"/>
        <v>1.0590618993695957</v>
      </c>
      <c r="Q366" s="35">
        <f t="shared" si="94"/>
        <v>8.582612477649447E-2</v>
      </c>
      <c r="R366" s="35">
        <f t="shared" si="95"/>
        <v>8.363326387573404E-2</v>
      </c>
      <c r="S366" s="35">
        <f t="shared" si="96"/>
        <v>6.3053937705748297E-2</v>
      </c>
      <c r="T366" s="35">
        <f t="shared" si="97"/>
        <v>0.14473684210526316</v>
      </c>
      <c r="U366" s="35">
        <f t="shared" si="98"/>
        <v>0.25194165561659404</v>
      </c>
      <c r="V366" s="35">
        <f t="shared" si="99"/>
        <v>0.25440393281442031</v>
      </c>
      <c r="X366" s="35">
        <v>6.4211864443547789E-2</v>
      </c>
      <c r="Y366" s="35">
        <v>1.9740809676901516E-2</v>
      </c>
      <c r="Z366" s="35">
        <v>4.3212849314711891E-3</v>
      </c>
      <c r="AA366" s="35">
        <v>3.3407524068602566E-3</v>
      </c>
      <c r="AB366" s="35">
        <v>0</v>
      </c>
      <c r="AC366" s="35">
        <v>0</v>
      </c>
      <c r="AD366" s="35">
        <v>7.8963238707606062E-3</v>
      </c>
      <c r="AE366" s="35">
        <v>2.69429512293535E-3</v>
      </c>
      <c r="AF366" s="35">
        <v>0</v>
      </c>
      <c r="AG366" s="35">
        <v>0</v>
      </c>
      <c r="AH366" s="35">
        <v>0</v>
      </c>
      <c r="AI366" s="35">
        <v>0</v>
      </c>
    </row>
    <row r="367" spans="1:35" x14ac:dyDescent="0.2">
      <c r="A367" s="110" t="s">
        <v>981</v>
      </c>
      <c r="B367" t="s">
        <v>902</v>
      </c>
      <c r="C367" t="s">
        <v>904</v>
      </c>
      <c r="D367" s="35">
        <f t="shared" si="100"/>
        <v>1.2253303047213338E-2</v>
      </c>
      <c r="E367" s="35">
        <f t="shared" si="101"/>
        <v>0</v>
      </c>
      <c r="F367" s="35">
        <f t="shared" si="102"/>
        <v>0</v>
      </c>
      <c r="G367" s="35">
        <f t="shared" si="103"/>
        <v>9.3373470302049039E-2</v>
      </c>
      <c r="H367" s="35">
        <f t="shared" si="104"/>
        <v>7.3252587812718591E-3</v>
      </c>
      <c r="I367" s="35">
        <f t="shared" si="105"/>
        <v>0</v>
      </c>
      <c r="J367" s="35">
        <v>0.81741085112904877</v>
      </c>
      <c r="K367" s="35">
        <v>4.755130432048793E-2</v>
      </c>
      <c r="L367" s="35">
        <v>2.2085812419929105E-2</v>
      </c>
      <c r="M367" s="114">
        <f t="shared" si="90"/>
        <v>1</v>
      </c>
      <c r="N367" s="35">
        <f t="shared" si="91"/>
        <v>88.704796786946588</v>
      </c>
      <c r="O367" s="35">
        <f t="shared" si="92"/>
        <v>10.069872908332089</v>
      </c>
      <c r="P367" s="35">
        <f t="shared" si="93"/>
        <v>1.2253303047213338</v>
      </c>
      <c r="Q367" s="35">
        <f t="shared" si="94"/>
        <v>0.10340244550770865</v>
      </c>
      <c r="R367" s="35">
        <f t="shared" si="95"/>
        <v>7.2744302216671858E-2</v>
      </c>
      <c r="S367" s="35">
        <f t="shared" si="96"/>
        <v>5.2183173588924388E-2</v>
      </c>
      <c r="T367" s="35">
        <f t="shared" si="97"/>
        <v>0.12916423144360023</v>
      </c>
      <c r="U367" s="35">
        <f t="shared" si="98"/>
        <v>0.26709334998438961</v>
      </c>
      <c r="V367" s="35">
        <f t="shared" si="99"/>
        <v>0.23669018601667732</v>
      </c>
      <c r="X367" s="35">
        <v>6.9951505529312827E-2</v>
      </c>
      <c r="Y367" s="35">
        <v>2.3421964772736205E-2</v>
      </c>
      <c r="Z367" s="35">
        <v>3.8512626639734026E-3</v>
      </c>
      <c r="AA367" s="35">
        <v>3.473996117298457E-3</v>
      </c>
      <c r="AB367" s="35">
        <v>0</v>
      </c>
      <c r="AC367" s="35">
        <v>0</v>
      </c>
      <c r="AD367" s="35">
        <v>9.3530664696496926E-3</v>
      </c>
      <c r="AE367" s="35">
        <v>2.9002365775636441E-3</v>
      </c>
      <c r="AF367" s="35">
        <v>0</v>
      </c>
      <c r="AG367" s="35">
        <v>0</v>
      </c>
      <c r="AH367" s="35">
        <v>0</v>
      </c>
      <c r="AI367" s="35">
        <v>0</v>
      </c>
    </row>
    <row r="368" spans="1:35" x14ac:dyDescent="0.2">
      <c r="A368" s="110" t="s">
        <v>981</v>
      </c>
      <c r="B368" t="s">
        <v>902</v>
      </c>
      <c r="C368" t="s">
        <v>904</v>
      </c>
      <c r="D368" s="35">
        <f t="shared" si="100"/>
        <v>1.2664322502516815E-2</v>
      </c>
      <c r="E368" s="35">
        <f t="shared" si="101"/>
        <v>0</v>
      </c>
      <c r="F368" s="35">
        <f t="shared" si="102"/>
        <v>0</v>
      </c>
      <c r="G368" s="35">
        <f t="shared" si="103"/>
        <v>9.6076686266213393E-2</v>
      </c>
      <c r="H368" s="35">
        <f t="shared" si="104"/>
        <v>9.4982418768876122E-3</v>
      </c>
      <c r="I368" s="35">
        <f t="shared" si="105"/>
        <v>0</v>
      </c>
      <c r="J368" s="35">
        <v>0.81705306467850425</v>
      </c>
      <c r="K368" s="35">
        <v>4.8001867549862125E-2</v>
      </c>
      <c r="L368" s="35">
        <v>1.6705817126015845E-2</v>
      </c>
      <c r="M368" s="114">
        <f t="shared" si="90"/>
        <v>1</v>
      </c>
      <c r="N368" s="35">
        <f t="shared" si="91"/>
        <v>88.176074935438223</v>
      </c>
      <c r="O368" s="35">
        <f t="shared" si="92"/>
        <v>10.5574928143101</v>
      </c>
      <c r="P368" s="35">
        <f t="shared" si="93"/>
        <v>1.2664322502516816</v>
      </c>
      <c r="Q368" s="35">
        <f t="shared" si="94"/>
        <v>9.2330603127326882E-2</v>
      </c>
      <c r="R368" s="35">
        <f t="shared" si="95"/>
        <v>8.9966832504145944E-2</v>
      </c>
      <c r="S368" s="35">
        <f t="shared" si="96"/>
        <v>6.7300658376005865E-2</v>
      </c>
      <c r="T368" s="35">
        <f t="shared" si="97"/>
        <v>0.16006787330316744</v>
      </c>
      <c r="U368" s="35">
        <f t="shared" si="98"/>
        <v>0.2443338861249309</v>
      </c>
      <c r="V368" s="35">
        <f t="shared" si="99"/>
        <v>0.27419354838709681</v>
      </c>
      <c r="X368" s="35">
        <v>7.4410189818935199E-2</v>
      </c>
      <c r="Y368" s="35">
        <v>2.1666496447278191E-2</v>
      </c>
      <c r="Z368" s="35">
        <v>5.3692058536015993E-3</v>
      </c>
      <c r="AA368" s="35">
        <v>4.129036023286012E-3</v>
      </c>
      <c r="AB368" s="35">
        <v>0</v>
      </c>
      <c r="AC368" s="35">
        <v>0</v>
      </c>
      <c r="AD368" s="35">
        <v>9.1918469776331724E-3</v>
      </c>
      <c r="AE368" s="35">
        <v>3.4724755248836431E-3</v>
      </c>
      <c r="AF368" s="35">
        <v>0</v>
      </c>
      <c r="AG368" s="35">
        <v>0</v>
      </c>
      <c r="AH368" s="35">
        <v>0</v>
      </c>
      <c r="AI368" s="35">
        <v>0</v>
      </c>
    </row>
    <row r="369" spans="1:35" x14ac:dyDescent="0.2">
      <c r="A369" s="110" t="s">
        <v>981</v>
      </c>
      <c r="B369" t="s">
        <v>902</v>
      </c>
      <c r="C369" t="s">
        <v>904</v>
      </c>
      <c r="D369" s="35">
        <f t="shared" si="100"/>
        <v>1.4252958628755691E-2</v>
      </c>
      <c r="E369" s="35">
        <f t="shared" si="101"/>
        <v>0</v>
      </c>
      <c r="F369" s="35">
        <f t="shared" si="102"/>
        <v>0</v>
      </c>
      <c r="G369" s="35">
        <f t="shared" si="103"/>
        <v>0.10863172918717828</v>
      </c>
      <c r="H369" s="35">
        <f t="shared" si="104"/>
        <v>0</v>
      </c>
      <c r="I369" s="35">
        <f t="shared" si="105"/>
        <v>0</v>
      </c>
      <c r="J369" s="35">
        <v>0.79954009924869662</v>
      </c>
      <c r="K369" s="35">
        <v>5.6033884641561546E-2</v>
      </c>
      <c r="L369" s="35">
        <v>2.1541328293807858E-2</v>
      </c>
      <c r="M369" s="114">
        <f t="shared" si="90"/>
        <v>1</v>
      </c>
      <c r="N369" s="35">
        <f t="shared" si="91"/>
        <v>87.711531218406606</v>
      </c>
      <c r="O369" s="35">
        <f t="shared" si="92"/>
        <v>10.863172918717828</v>
      </c>
      <c r="P369" s="35">
        <f t="shared" si="93"/>
        <v>1.4252958628755692</v>
      </c>
      <c r="Q369" s="35">
        <f t="shared" si="94"/>
        <v>0.11300286273918939</v>
      </c>
      <c r="R369" s="35">
        <f t="shared" si="95"/>
        <v>0</v>
      </c>
      <c r="S369" s="35">
        <f t="shared" si="96"/>
        <v>0</v>
      </c>
      <c r="T369" s="35">
        <f t="shared" si="97"/>
        <v>0</v>
      </c>
      <c r="U369" s="35">
        <f t="shared" si="98"/>
        <v>0.23965936739659369</v>
      </c>
      <c r="V369" s="35">
        <f t="shared" si="99"/>
        <v>0.26750115901715343</v>
      </c>
      <c r="X369" s="35">
        <v>8.2597117690981062E-2</v>
      </c>
      <c r="Y369" s="35">
        <v>2.6034611496197228E-2</v>
      </c>
      <c r="Z369" s="35">
        <v>0</v>
      </c>
      <c r="AA369" s="35">
        <v>0</v>
      </c>
      <c r="AB369" s="35">
        <v>0</v>
      </c>
      <c r="AC369" s="35">
        <v>0</v>
      </c>
      <c r="AD369" s="35">
        <v>1.0440275676140006E-2</v>
      </c>
      <c r="AE369" s="35">
        <v>3.8126829526156855E-3</v>
      </c>
      <c r="AF369" s="35">
        <v>0</v>
      </c>
      <c r="AG369" s="35">
        <v>0</v>
      </c>
      <c r="AH369" s="35">
        <v>0</v>
      </c>
      <c r="AI369" s="35">
        <v>0</v>
      </c>
    </row>
    <row r="370" spans="1:35" x14ac:dyDescent="0.2">
      <c r="A370" s="110" t="s">
        <v>981</v>
      </c>
      <c r="B370" t="s">
        <v>902</v>
      </c>
      <c r="C370" t="s">
        <v>904</v>
      </c>
      <c r="D370" s="35">
        <f t="shared" si="100"/>
        <v>1.1418916246079156E-2</v>
      </c>
      <c r="E370" s="35">
        <f t="shared" si="101"/>
        <v>0</v>
      </c>
      <c r="F370" s="35">
        <f t="shared" si="102"/>
        <v>0</v>
      </c>
      <c r="G370" s="35">
        <f t="shared" si="103"/>
        <v>7.7100361237868981E-2</v>
      </c>
      <c r="H370" s="35">
        <f t="shared" si="104"/>
        <v>6.9022561430216742E-3</v>
      </c>
      <c r="I370" s="35">
        <f t="shared" si="105"/>
        <v>1.5467844236105495E-3</v>
      </c>
      <c r="J370" s="35">
        <v>0.84659220182758088</v>
      </c>
      <c r="K370" s="35">
        <v>4.0313914372741948E-2</v>
      </c>
      <c r="L370" s="35">
        <v>1.6125565749096779E-2</v>
      </c>
      <c r="M370" s="114">
        <f t="shared" si="90"/>
        <v>0.99999999999999989</v>
      </c>
      <c r="N370" s="35">
        <f t="shared" si="91"/>
        <v>90.303168194941961</v>
      </c>
      <c r="O370" s="35">
        <f t="shared" si="92"/>
        <v>8.5549401804501208</v>
      </c>
      <c r="P370" s="35">
        <f t="shared" si="93"/>
        <v>1.1418916246079158</v>
      </c>
      <c r="Q370" s="35">
        <f t="shared" si="94"/>
        <v>8.0357142857142877E-2</v>
      </c>
      <c r="R370" s="35">
        <f t="shared" si="95"/>
        <v>0.11684272220962323</v>
      </c>
      <c r="S370" s="35">
        <f t="shared" si="96"/>
        <v>0.10698361780672724</v>
      </c>
      <c r="T370" s="35">
        <f t="shared" si="97"/>
        <v>0.15137078811399318</v>
      </c>
      <c r="U370" s="35">
        <f t="shared" si="98"/>
        <v>0.22211608297278906</v>
      </c>
      <c r="V370" s="35">
        <f t="shared" si="99"/>
        <v>0.33362753751103269</v>
      </c>
      <c r="X370" s="35">
        <v>6.0974795488772195E-2</v>
      </c>
      <c r="Y370" s="35">
        <v>1.6125565749096779E-2</v>
      </c>
      <c r="Z370" s="35">
        <v>4.0259238626373919E-3</v>
      </c>
      <c r="AA370" s="35">
        <v>2.8763322803842823E-3</v>
      </c>
      <c r="AB370" s="35">
        <v>1.5467844236105495E-3</v>
      </c>
      <c r="AC370" s="35">
        <v>0</v>
      </c>
      <c r="AD370" s="35">
        <v>7.6092513378550426E-3</v>
      </c>
      <c r="AE370" s="35">
        <v>3.8096649082241143E-3</v>
      </c>
      <c r="AF370" s="35">
        <v>0</v>
      </c>
      <c r="AG370" s="35">
        <v>0</v>
      </c>
      <c r="AH370" s="35">
        <v>0</v>
      </c>
      <c r="AI370" s="35">
        <v>0</v>
      </c>
    </row>
    <row r="371" spans="1:35" x14ac:dyDescent="0.2">
      <c r="A371" s="110" t="s">
        <v>981</v>
      </c>
      <c r="B371" t="s">
        <v>902</v>
      </c>
      <c r="C371" t="s">
        <v>904</v>
      </c>
      <c r="D371" s="35">
        <f t="shared" si="100"/>
        <v>1.0571534657052486E-2</v>
      </c>
      <c r="E371" s="35">
        <f t="shared" si="101"/>
        <v>0</v>
      </c>
      <c r="F371" s="35">
        <f t="shared" si="102"/>
        <v>0</v>
      </c>
      <c r="G371" s="35">
        <f t="shared" si="103"/>
        <v>7.7921257765167132E-2</v>
      </c>
      <c r="H371" s="35">
        <f t="shared" si="104"/>
        <v>7.077850297255741E-3</v>
      </c>
      <c r="I371" s="35">
        <f t="shared" si="105"/>
        <v>1.2437324941050856E-3</v>
      </c>
      <c r="J371" s="35">
        <v>0.84767895476750854</v>
      </c>
      <c r="K371" s="35">
        <v>4.0427765535065795E-2</v>
      </c>
      <c r="L371" s="35">
        <v>1.5078904483845105E-2</v>
      </c>
      <c r="M371" s="114">
        <f t="shared" si="90"/>
        <v>0.99999999999999989</v>
      </c>
      <c r="N371" s="35">
        <f t="shared" si="91"/>
        <v>90.318562478641951</v>
      </c>
      <c r="O371" s="35">
        <f t="shared" si="92"/>
        <v>8.6242840556527973</v>
      </c>
      <c r="P371" s="35">
        <f t="shared" si="93"/>
        <v>1.0571534657052488</v>
      </c>
      <c r="Q371" s="35">
        <f t="shared" si="94"/>
        <v>7.8151791354570899E-2</v>
      </c>
      <c r="R371" s="35">
        <f t="shared" si="95"/>
        <v>0.11091141274731456</v>
      </c>
      <c r="S371" s="35">
        <f t="shared" si="96"/>
        <v>9.5336573871627556E-2</v>
      </c>
      <c r="T371" s="35">
        <f t="shared" si="97"/>
        <v>0.16719207690087318</v>
      </c>
      <c r="U371" s="35">
        <f t="shared" si="98"/>
        <v>0.21675220712529053</v>
      </c>
      <c r="V371" s="35">
        <f t="shared" si="99"/>
        <v>0.28373168851195069</v>
      </c>
      <c r="X371" s="35">
        <v>6.235330773049462E-2</v>
      </c>
      <c r="Y371" s="35">
        <v>1.5567950034672514E-2</v>
      </c>
      <c r="Z371" s="35">
        <v>3.952474292546298E-3</v>
      </c>
      <c r="AA371" s="35">
        <v>3.1253760047094429E-3</v>
      </c>
      <c r="AB371" s="35">
        <v>1.2437324941050856E-3</v>
      </c>
      <c r="AC371" s="35">
        <v>0</v>
      </c>
      <c r="AD371" s="35">
        <v>7.5720552786443796E-3</v>
      </c>
      <c r="AE371" s="35">
        <v>2.9994793784081071E-3</v>
      </c>
      <c r="AF371" s="35">
        <v>0</v>
      </c>
      <c r="AG371" s="35">
        <v>0</v>
      </c>
      <c r="AH371" s="35">
        <v>0</v>
      </c>
      <c r="AI371" s="35">
        <v>0</v>
      </c>
    </row>
    <row r="372" spans="1:35" x14ac:dyDescent="0.2">
      <c r="A372" s="110" t="s">
        <v>981</v>
      </c>
      <c r="B372" t="s">
        <v>902</v>
      </c>
      <c r="C372" t="s">
        <v>904</v>
      </c>
      <c r="D372" s="35">
        <f t="shared" si="100"/>
        <v>7.8867339014907795E-3</v>
      </c>
      <c r="E372" s="35">
        <f t="shared" si="101"/>
        <v>0</v>
      </c>
      <c r="F372" s="35">
        <f t="shared" si="102"/>
        <v>0</v>
      </c>
      <c r="G372" s="35">
        <f t="shared" si="103"/>
        <v>6.3356364624683872E-2</v>
      </c>
      <c r="H372" s="35">
        <f t="shared" si="104"/>
        <v>7.015744963404659E-3</v>
      </c>
      <c r="I372" s="35">
        <f t="shared" si="105"/>
        <v>1.2244840444393234E-3</v>
      </c>
      <c r="J372" s="35">
        <v>0.8626488064716844</v>
      </c>
      <c r="K372" s="35">
        <v>4.1641000478370382E-2</v>
      </c>
      <c r="L372" s="35">
        <v>1.6226865515926565E-2</v>
      </c>
      <c r="M372" s="114">
        <f t="shared" si="90"/>
        <v>1</v>
      </c>
      <c r="N372" s="35">
        <f t="shared" si="91"/>
        <v>92.051667246598129</v>
      </c>
      <c r="O372" s="35">
        <f t="shared" si="92"/>
        <v>7.1596593632527865</v>
      </c>
      <c r="P372" s="35">
        <f t="shared" si="93"/>
        <v>0.788673390149078</v>
      </c>
      <c r="Q372" s="35">
        <f t="shared" si="94"/>
        <v>8.0492546986390148E-2</v>
      </c>
      <c r="R372" s="35">
        <f t="shared" si="95"/>
        <v>0.13219501895385263</v>
      </c>
      <c r="S372" s="35">
        <f t="shared" si="96"/>
        <v>0.11870377548778337</v>
      </c>
      <c r="T372" s="35">
        <f t="shared" si="97"/>
        <v>0.18235136877525671</v>
      </c>
      <c r="U372" s="35">
        <f t="shared" si="98"/>
        <v>0.21196784935974189</v>
      </c>
      <c r="V372" s="35">
        <f t="shared" si="99"/>
        <v>0.29046898638426627</v>
      </c>
      <c r="X372" s="35">
        <v>5.0947585112504738E-2</v>
      </c>
      <c r="Y372" s="35">
        <v>1.2408779512179139E-2</v>
      </c>
      <c r="Z372" s="35">
        <v>4.2483485018134769E-3</v>
      </c>
      <c r="AA372" s="35">
        <v>2.7673964615911825E-3</v>
      </c>
      <c r="AB372" s="35">
        <v>1.2244840444393234E-3</v>
      </c>
      <c r="AC372" s="35">
        <v>0</v>
      </c>
      <c r="AD372" s="35">
        <v>5.5958822992423236E-3</v>
      </c>
      <c r="AE372" s="35">
        <v>2.2908516022484564E-3</v>
      </c>
      <c r="AF372" s="35">
        <v>0</v>
      </c>
      <c r="AG372" s="35">
        <v>0</v>
      </c>
      <c r="AH372" s="35">
        <v>0</v>
      </c>
      <c r="AI372" s="35">
        <v>0</v>
      </c>
    </row>
    <row r="373" spans="1:35" x14ac:dyDescent="0.2">
      <c r="A373" s="110" t="s">
        <v>981</v>
      </c>
      <c r="B373" t="s">
        <v>902</v>
      </c>
      <c r="C373" t="s">
        <v>904</v>
      </c>
      <c r="D373" s="35">
        <f t="shared" si="100"/>
        <v>1.0066207269287933E-2</v>
      </c>
      <c r="E373" s="35">
        <f t="shared" si="101"/>
        <v>0</v>
      </c>
      <c r="F373" s="35">
        <f t="shared" si="102"/>
        <v>0</v>
      </c>
      <c r="G373" s="35">
        <f t="shared" si="103"/>
        <v>7.6476151871368733E-2</v>
      </c>
      <c r="H373" s="35">
        <f t="shared" si="104"/>
        <v>6.8684412016394181E-3</v>
      </c>
      <c r="I373" s="35">
        <f t="shared" si="105"/>
        <v>0</v>
      </c>
      <c r="J373" s="35">
        <v>0.84448047561140382</v>
      </c>
      <c r="K373" s="35">
        <v>4.3912984731793003E-2</v>
      </c>
      <c r="L373" s="35">
        <v>1.8195739314507048E-2</v>
      </c>
      <c r="M373" s="114">
        <f t="shared" si="90"/>
        <v>0.99999999999999989</v>
      </c>
      <c r="N373" s="35">
        <f t="shared" si="91"/>
        <v>90.658919965770394</v>
      </c>
      <c r="O373" s="35">
        <f t="shared" si="92"/>
        <v>8.3344593073008166</v>
      </c>
      <c r="P373" s="35">
        <f t="shared" si="93"/>
        <v>1.0066207269287935</v>
      </c>
      <c r="Q373" s="35">
        <f t="shared" si="94"/>
        <v>8.8578667594018584E-2</v>
      </c>
      <c r="R373" s="35">
        <f t="shared" si="95"/>
        <v>8.241015941637396E-2</v>
      </c>
      <c r="S373" s="35">
        <f t="shared" si="96"/>
        <v>6.1522419186652771E-2</v>
      </c>
      <c r="T373" s="35">
        <f t="shared" si="97"/>
        <v>0.15533980582524273</v>
      </c>
      <c r="U373" s="35">
        <f t="shared" si="98"/>
        <v>0.22264252904620371</v>
      </c>
      <c r="V373" s="35">
        <f t="shared" si="99"/>
        <v>0.26174496644295303</v>
      </c>
      <c r="X373" s="35">
        <v>6.0802594244021076E-2</v>
      </c>
      <c r="Y373" s="35">
        <v>1.5673557627347654E-2</v>
      </c>
      <c r="Z373" s="35">
        <v>3.9859478448858263E-3</v>
      </c>
      <c r="AA373" s="35">
        <v>2.8824933567535918E-3</v>
      </c>
      <c r="AB373" s="35">
        <v>0</v>
      </c>
      <c r="AC373" s="35">
        <v>0</v>
      </c>
      <c r="AD373" s="35">
        <v>7.4314281853803538E-3</v>
      </c>
      <c r="AE373" s="35">
        <v>2.63477908390758E-3</v>
      </c>
      <c r="AF373" s="35">
        <v>0</v>
      </c>
      <c r="AG373" s="35">
        <v>0</v>
      </c>
      <c r="AH373" s="35">
        <v>0</v>
      </c>
      <c r="AI373" s="35">
        <v>0</v>
      </c>
    </row>
    <row r="374" spans="1:35" x14ac:dyDescent="0.2">
      <c r="A374" s="110" t="s">
        <v>981</v>
      </c>
      <c r="B374" t="s">
        <v>902</v>
      </c>
      <c r="C374" t="s">
        <v>904</v>
      </c>
      <c r="D374" s="35">
        <f t="shared" si="100"/>
        <v>1.1300322506251476E-2</v>
      </c>
      <c r="E374" s="35">
        <f t="shared" si="101"/>
        <v>0</v>
      </c>
      <c r="F374" s="35">
        <f t="shared" si="102"/>
        <v>0</v>
      </c>
      <c r="G374" s="35">
        <f t="shared" si="103"/>
        <v>8.9346840577109427E-2</v>
      </c>
      <c r="H374" s="35">
        <f t="shared" si="104"/>
        <v>8.0549011636256197E-3</v>
      </c>
      <c r="I374" s="35">
        <f t="shared" si="105"/>
        <v>1.4789997647916724E-3</v>
      </c>
      <c r="J374" s="35">
        <v>0.83416452179941691</v>
      </c>
      <c r="K374" s="35">
        <v>4.0209336714862522E-2</v>
      </c>
      <c r="L374" s="35">
        <v>1.544507747394233E-2</v>
      </c>
      <c r="M374" s="114">
        <f t="shared" si="90"/>
        <v>0.99999999999999989</v>
      </c>
      <c r="N374" s="35">
        <f t="shared" si="91"/>
        <v>88.981893598822182</v>
      </c>
      <c r="O374" s="35">
        <f t="shared" si="92"/>
        <v>9.8880741505526721</v>
      </c>
      <c r="P374" s="35">
        <f t="shared" si="93"/>
        <v>1.1300322506251479</v>
      </c>
      <c r="Q374" s="35">
        <f t="shared" si="94"/>
        <v>7.9903325032957384E-2</v>
      </c>
      <c r="R374" s="35">
        <f t="shared" si="95"/>
        <v>0.1113755876577182</v>
      </c>
      <c r="S374" s="35">
        <f t="shared" si="96"/>
        <v>9.97136942468409E-2</v>
      </c>
      <c r="T374" s="35">
        <f t="shared" si="97"/>
        <v>0.14817858121062721</v>
      </c>
      <c r="U374" s="35">
        <f t="shared" si="98"/>
        <v>0.24062561869980706</v>
      </c>
      <c r="V374" s="35">
        <f t="shared" si="99"/>
        <v>0.29065743944636679</v>
      </c>
      <c r="X374" s="35">
        <v>6.9079249461514211E-2</v>
      </c>
      <c r="Y374" s="35">
        <v>2.0267591115595208E-2</v>
      </c>
      <c r="Z374" s="35">
        <v>4.5292526769577712E-3</v>
      </c>
      <c r="AA374" s="35">
        <v>3.5256484866678481E-3</v>
      </c>
      <c r="AB374" s="35">
        <v>1.4789997647916724E-3</v>
      </c>
      <c r="AC374" s="35">
        <v>0</v>
      </c>
      <c r="AD374" s="35">
        <v>8.0157997016662725E-3</v>
      </c>
      <c r="AE374" s="35">
        <v>3.2845228045852042E-3</v>
      </c>
      <c r="AF374" s="35">
        <v>0</v>
      </c>
      <c r="AG374" s="35">
        <v>0</v>
      </c>
      <c r="AH374" s="35">
        <v>0</v>
      </c>
      <c r="AI374" s="35">
        <v>0</v>
      </c>
    </row>
    <row r="375" spans="1:35" x14ac:dyDescent="0.2">
      <c r="A375" s="110" t="s">
        <v>981</v>
      </c>
      <c r="B375" t="s">
        <v>902</v>
      </c>
      <c r="C375" t="s">
        <v>904</v>
      </c>
      <c r="D375" s="35">
        <f t="shared" si="100"/>
        <v>1.3267261734591234E-2</v>
      </c>
      <c r="E375" s="35">
        <f t="shared" si="101"/>
        <v>0</v>
      </c>
      <c r="F375" s="35">
        <f t="shared" si="102"/>
        <v>0</v>
      </c>
      <c r="G375" s="35">
        <f t="shared" si="103"/>
        <v>9.0107260463983568E-2</v>
      </c>
      <c r="H375" s="35">
        <f t="shared" si="104"/>
        <v>0</v>
      </c>
      <c r="I375" s="35">
        <f t="shared" si="105"/>
        <v>0</v>
      </c>
      <c r="J375" s="35">
        <v>0.83754222123397182</v>
      </c>
      <c r="K375" s="35">
        <v>4.214182099255636E-2</v>
      </c>
      <c r="L375" s="35">
        <v>1.6941435574897027E-2</v>
      </c>
      <c r="M375" s="114">
        <f t="shared" si="90"/>
        <v>1</v>
      </c>
      <c r="N375" s="35">
        <f t="shared" si="91"/>
        <v>89.662547780142518</v>
      </c>
      <c r="O375" s="35">
        <f t="shared" si="92"/>
        <v>9.0107260463983572</v>
      </c>
      <c r="P375" s="35">
        <f t="shared" si="93"/>
        <v>1.3267261734591234</v>
      </c>
      <c r="Q375" s="35">
        <f t="shared" si="94"/>
        <v>8.4789796882380725E-2</v>
      </c>
      <c r="R375" s="35">
        <f t="shared" si="95"/>
        <v>0</v>
      </c>
      <c r="S375" s="35">
        <f t="shared" si="96"/>
        <v>0</v>
      </c>
      <c r="T375" s="35">
        <f t="shared" si="97"/>
        <v>0</v>
      </c>
      <c r="U375" s="35">
        <f t="shared" si="98"/>
        <v>0.2291421856639248</v>
      </c>
      <c r="V375" s="35">
        <f t="shared" si="99"/>
        <v>0.27773343974461295</v>
      </c>
      <c r="X375" s="35">
        <v>6.945988585707781E-2</v>
      </c>
      <c r="Y375" s="35">
        <v>2.0647374606905754E-2</v>
      </c>
      <c r="Z375" s="35">
        <v>0</v>
      </c>
      <c r="AA375" s="35">
        <v>0</v>
      </c>
      <c r="AB375" s="35">
        <v>0</v>
      </c>
      <c r="AC375" s="35">
        <v>0</v>
      </c>
      <c r="AD375" s="35">
        <v>9.5824994970511307E-3</v>
      </c>
      <c r="AE375" s="35">
        <v>3.6847622375401038E-3</v>
      </c>
      <c r="AF375" s="35">
        <v>0</v>
      </c>
      <c r="AG375" s="35">
        <v>0</v>
      </c>
      <c r="AH375" s="35">
        <v>0</v>
      </c>
      <c r="AI375" s="35">
        <v>0</v>
      </c>
    </row>
    <row r="376" spans="1:35" x14ac:dyDescent="0.2">
      <c r="A376" s="110" t="s">
        <v>981</v>
      </c>
      <c r="B376" t="s">
        <v>902</v>
      </c>
      <c r="C376" t="s">
        <v>904</v>
      </c>
      <c r="D376" s="35">
        <f t="shared" si="100"/>
        <v>2.0136490016008087E-2</v>
      </c>
      <c r="E376" s="35">
        <f t="shared" si="101"/>
        <v>0</v>
      </c>
      <c r="F376" s="35">
        <f t="shared" si="102"/>
        <v>0</v>
      </c>
      <c r="G376" s="35">
        <f t="shared" si="103"/>
        <v>0.11904962507372147</v>
      </c>
      <c r="H376" s="35">
        <f t="shared" si="104"/>
        <v>0</v>
      </c>
      <c r="I376" s="35">
        <f t="shared" si="105"/>
        <v>0</v>
      </c>
      <c r="J376" s="35">
        <v>0.80040441486224623</v>
      </c>
      <c r="K376" s="35">
        <v>4.324992276799506E-2</v>
      </c>
      <c r="L376" s="35">
        <v>1.7159547280029209E-2</v>
      </c>
      <c r="M376" s="114">
        <f t="shared" si="90"/>
        <v>1</v>
      </c>
      <c r="N376" s="35">
        <f t="shared" si="91"/>
        <v>86.081388491027056</v>
      </c>
      <c r="O376" s="35">
        <f t="shared" si="92"/>
        <v>11.904962507372147</v>
      </c>
      <c r="P376" s="35">
        <f t="shared" si="93"/>
        <v>2.0136490016008088</v>
      </c>
      <c r="Q376" s="35">
        <f t="shared" si="94"/>
        <v>9.0111252487683924E-2</v>
      </c>
      <c r="R376" s="35">
        <f t="shared" si="95"/>
        <v>0</v>
      </c>
      <c r="S376" s="35">
        <f t="shared" si="96"/>
        <v>0</v>
      </c>
      <c r="T376" s="35">
        <f t="shared" si="97"/>
        <v>0</v>
      </c>
      <c r="U376" s="35">
        <f t="shared" si="98"/>
        <v>0.18612880396319886</v>
      </c>
      <c r="V376" s="35">
        <f t="shared" si="99"/>
        <v>0.299860529986053</v>
      </c>
      <c r="X376" s="35">
        <v>9.6891060746482432E-2</v>
      </c>
      <c r="Y376" s="35">
        <v>2.2158564327239026E-2</v>
      </c>
      <c r="Z376" s="35">
        <v>0</v>
      </c>
      <c r="AA376" s="35">
        <v>0</v>
      </c>
      <c r="AB376" s="35">
        <v>0</v>
      </c>
      <c r="AC376" s="35">
        <v>0</v>
      </c>
      <c r="AD376" s="35">
        <v>1.4098351447749038E-2</v>
      </c>
      <c r="AE376" s="35">
        <v>6.0381385682590502E-3</v>
      </c>
      <c r="AF376" s="35">
        <v>0</v>
      </c>
      <c r="AG376" s="35">
        <v>0</v>
      </c>
      <c r="AH376" s="35">
        <v>0</v>
      </c>
      <c r="AI376" s="35">
        <v>0</v>
      </c>
    </row>
    <row r="377" spans="1:35" x14ac:dyDescent="0.2">
      <c r="A377" s="110" t="s">
        <v>981</v>
      </c>
      <c r="B377" t="s">
        <v>902</v>
      </c>
      <c r="C377" t="s">
        <v>904</v>
      </c>
      <c r="D377" s="35">
        <f t="shared" si="100"/>
        <v>1.3834350954445377E-2</v>
      </c>
      <c r="E377" s="35">
        <f t="shared" si="101"/>
        <v>0</v>
      </c>
      <c r="F377" s="35">
        <f t="shared" si="102"/>
        <v>0</v>
      </c>
      <c r="G377" s="35">
        <f t="shared" si="103"/>
        <v>9.5785005787956512E-2</v>
      </c>
      <c r="H377" s="35">
        <f t="shared" si="104"/>
        <v>0</v>
      </c>
      <c r="I377" s="35">
        <f t="shared" si="105"/>
        <v>0</v>
      </c>
      <c r="J377" s="35">
        <v>0.82847220645981345</v>
      </c>
      <c r="K377" s="35">
        <v>4.471480128015979E-2</v>
      </c>
      <c r="L377" s="35">
        <v>1.7193635517624897E-2</v>
      </c>
      <c r="M377" s="114">
        <f t="shared" si="90"/>
        <v>1</v>
      </c>
      <c r="N377" s="35">
        <f t="shared" si="91"/>
        <v>89.038064325759819</v>
      </c>
      <c r="O377" s="35">
        <f t="shared" si="92"/>
        <v>9.5785005787956514</v>
      </c>
      <c r="P377" s="35">
        <f t="shared" si="93"/>
        <v>1.3834350954445378</v>
      </c>
      <c r="Q377" s="35">
        <f t="shared" si="94"/>
        <v>8.8840736728060671E-2</v>
      </c>
      <c r="R377" s="35">
        <f t="shared" si="95"/>
        <v>0</v>
      </c>
      <c r="S377" s="35">
        <f t="shared" si="96"/>
        <v>0</v>
      </c>
      <c r="T377" s="35">
        <f t="shared" si="97"/>
        <v>0</v>
      </c>
      <c r="U377" s="35">
        <f t="shared" si="98"/>
        <v>0.22393364928909953</v>
      </c>
      <c r="V377" s="35">
        <f t="shared" si="99"/>
        <v>0.28630024610336341</v>
      </c>
      <c r="X377" s="35">
        <v>7.4335519894681887E-2</v>
      </c>
      <c r="Y377" s="35">
        <v>2.1449485893274622E-2</v>
      </c>
      <c r="Z377" s="35">
        <v>0</v>
      </c>
      <c r="AA377" s="35">
        <v>0</v>
      </c>
      <c r="AB377" s="35">
        <v>0</v>
      </c>
      <c r="AC377" s="35">
        <v>0</v>
      </c>
      <c r="AD377" s="35">
        <v>9.8735728715073651E-3</v>
      </c>
      <c r="AE377" s="35">
        <v>3.9607780829380122E-3</v>
      </c>
      <c r="AF377" s="35">
        <v>0</v>
      </c>
      <c r="AG377" s="35">
        <v>0</v>
      </c>
      <c r="AH377" s="35">
        <v>0</v>
      </c>
      <c r="AI377" s="35">
        <v>0</v>
      </c>
    </row>
    <row r="378" spans="1:35" x14ac:dyDescent="0.2">
      <c r="A378" s="110" t="s">
        <v>981</v>
      </c>
      <c r="B378" t="s">
        <v>902</v>
      </c>
      <c r="C378" t="s">
        <v>904</v>
      </c>
      <c r="D378" s="35">
        <f t="shared" si="100"/>
        <v>1.4924685614261366E-2</v>
      </c>
      <c r="E378" s="35">
        <f t="shared" si="101"/>
        <v>0</v>
      </c>
      <c r="F378" s="35">
        <f t="shared" si="102"/>
        <v>0</v>
      </c>
      <c r="G378" s="35">
        <f t="shared" si="103"/>
        <v>0.10963194988253719</v>
      </c>
      <c r="H378" s="35">
        <f t="shared" si="104"/>
        <v>0</v>
      </c>
      <c r="I378" s="35">
        <f t="shared" si="105"/>
        <v>0</v>
      </c>
      <c r="J378" s="35">
        <v>0.81379458596281107</v>
      </c>
      <c r="K378" s="35">
        <v>4.4374836857217437E-2</v>
      </c>
      <c r="L378" s="35">
        <v>1.7273941683172877E-2</v>
      </c>
      <c r="M378" s="114">
        <f t="shared" si="90"/>
        <v>0.99999999999999989</v>
      </c>
      <c r="N378" s="35">
        <f t="shared" si="91"/>
        <v>87.544336450320145</v>
      </c>
      <c r="O378" s="35">
        <f t="shared" si="92"/>
        <v>10.96319498825372</v>
      </c>
      <c r="P378" s="35">
        <f t="shared" si="93"/>
        <v>1.4924685614261368</v>
      </c>
      <c r="Q378" s="35">
        <f t="shared" si="94"/>
        <v>9.0151714461106744E-2</v>
      </c>
      <c r="R378" s="35">
        <f t="shared" si="95"/>
        <v>0</v>
      </c>
      <c r="S378" s="35">
        <f t="shared" si="96"/>
        <v>0</v>
      </c>
      <c r="T378" s="35">
        <f t="shared" si="97"/>
        <v>0</v>
      </c>
      <c r="U378" s="35">
        <f t="shared" si="98"/>
        <v>0.2016806722689076</v>
      </c>
      <c r="V378" s="35">
        <f t="shared" si="99"/>
        <v>0.30041152263374488</v>
      </c>
      <c r="X378" s="35">
        <v>8.7521304528075911E-2</v>
      </c>
      <c r="Y378" s="35">
        <v>2.2110645354461285E-2</v>
      </c>
      <c r="Z378" s="35">
        <v>0</v>
      </c>
      <c r="AA378" s="35">
        <v>0</v>
      </c>
      <c r="AB378" s="35">
        <v>0</v>
      </c>
      <c r="AC378" s="35">
        <v>0</v>
      </c>
      <c r="AD378" s="35">
        <v>1.0441138084051161E-2</v>
      </c>
      <c r="AE378" s="35">
        <v>4.4835475302102048E-3</v>
      </c>
      <c r="AF378" s="35">
        <v>0</v>
      </c>
      <c r="AG378" s="35">
        <v>0</v>
      </c>
      <c r="AH378" s="35">
        <v>0</v>
      </c>
      <c r="AI378" s="35">
        <v>0</v>
      </c>
    </row>
    <row r="379" spans="1:35" x14ac:dyDescent="0.2">
      <c r="A379" s="110" t="s">
        <v>981</v>
      </c>
      <c r="B379" t="s">
        <v>902</v>
      </c>
      <c r="C379" t="s">
        <v>904</v>
      </c>
      <c r="D379" s="35">
        <f t="shared" si="100"/>
        <v>1.5754038641261847E-2</v>
      </c>
      <c r="E379" s="35">
        <f t="shared" si="101"/>
        <v>0</v>
      </c>
      <c r="F379" s="35">
        <f t="shared" si="102"/>
        <v>0</v>
      </c>
      <c r="G379" s="35">
        <f t="shared" si="103"/>
        <v>0.10232496042417653</v>
      </c>
      <c r="H379" s="35">
        <f t="shared" si="104"/>
        <v>0</v>
      </c>
      <c r="I379" s="35">
        <f t="shared" si="105"/>
        <v>0</v>
      </c>
      <c r="J379" s="35">
        <v>0.82394003547519601</v>
      </c>
      <c r="K379" s="35">
        <v>4.1483092063855351E-2</v>
      </c>
      <c r="L379" s="35">
        <v>1.6497873395510291E-2</v>
      </c>
      <c r="M379" s="114">
        <f t="shared" si="90"/>
        <v>1</v>
      </c>
      <c r="N379" s="35">
        <f t="shared" si="91"/>
        <v>88.192100093456176</v>
      </c>
      <c r="O379" s="35">
        <f t="shared" si="92"/>
        <v>10.232496042417653</v>
      </c>
      <c r="P379" s="35">
        <f t="shared" si="93"/>
        <v>1.5754038641261847</v>
      </c>
      <c r="Q379" s="35">
        <f t="shared" si="94"/>
        <v>8.4450692041522488E-2</v>
      </c>
      <c r="R379" s="35">
        <f t="shared" si="95"/>
        <v>0</v>
      </c>
      <c r="S379" s="35">
        <f t="shared" si="96"/>
        <v>0</v>
      </c>
      <c r="T379" s="35">
        <f t="shared" si="97"/>
        <v>0</v>
      </c>
      <c r="U379" s="35">
        <f t="shared" si="98"/>
        <v>0.21621621621621623</v>
      </c>
      <c r="V379" s="35">
        <f t="shared" si="99"/>
        <v>0.29176755447941888</v>
      </c>
      <c r="X379" s="35">
        <v>8.0200644656787015E-2</v>
      </c>
      <c r="Y379" s="35">
        <v>2.2124315767389522E-2</v>
      </c>
      <c r="Z379" s="35">
        <v>0</v>
      </c>
      <c r="AA379" s="35">
        <v>0</v>
      </c>
      <c r="AB379" s="35">
        <v>0</v>
      </c>
      <c r="AC379" s="35">
        <v>0</v>
      </c>
      <c r="AD379" s="35">
        <v>1.1157521313726613E-2</v>
      </c>
      <c r="AE379" s="35">
        <v>4.5965173275352364E-3</v>
      </c>
      <c r="AF379" s="35">
        <v>0</v>
      </c>
      <c r="AG379" s="35">
        <v>0</v>
      </c>
      <c r="AH379" s="35">
        <v>0</v>
      </c>
      <c r="AI379" s="35">
        <v>0</v>
      </c>
    </row>
    <row r="380" spans="1:35" x14ac:dyDescent="0.2">
      <c r="A380" s="110" t="s">
        <v>981</v>
      </c>
      <c r="B380" t="s">
        <v>902</v>
      </c>
      <c r="C380" t="s">
        <v>904</v>
      </c>
      <c r="D380" s="35">
        <f t="shared" si="100"/>
        <v>1.5353568731117824E-2</v>
      </c>
      <c r="E380" s="35">
        <f t="shared" si="101"/>
        <v>0</v>
      </c>
      <c r="F380" s="35">
        <f t="shared" si="102"/>
        <v>0</v>
      </c>
      <c r="G380" s="35">
        <f t="shared" si="103"/>
        <v>0.10591720166163142</v>
      </c>
      <c r="H380" s="35">
        <f t="shared" si="104"/>
        <v>0</v>
      </c>
      <c r="I380" s="35">
        <f t="shared" si="105"/>
        <v>0</v>
      </c>
      <c r="J380" s="35">
        <v>0.81429380664652573</v>
      </c>
      <c r="K380" s="35">
        <v>4.6084308912386705E-2</v>
      </c>
      <c r="L380" s="35">
        <v>1.835111404833837E-2</v>
      </c>
      <c r="M380" s="114">
        <f t="shared" si="90"/>
        <v>1</v>
      </c>
      <c r="N380" s="35">
        <f t="shared" si="91"/>
        <v>87.872922960725077</v>
      </c>
      <c r="O380" s="35">
        <f t="shared" si="92"/>
        <v>10.591720166163142</v>
      </c>
      <c r="P380" s="35">
        <f t="shared" si="93"/>
        <v>1.5353568731117824</v>
      </c>
      <c r="Q380" s="35">
        <f t="shared" si="94"/>
        <v>9.4211657265645982E-2</v>
      </c>
      <c r="R380" s="35">
        <f t="shared" si="95"/>
        <v>0</v>
      </c>
      <c r="S380" s="35">
        <f t="shared" si="96"/>
        <v>0</v>
      </c>
      <c r="T380" s="35">
        <f t="shared" si="97"/>
        <v>0</v>
      </c>
      <c r="U380" s="35">
        <f t="shared" si="98"/>
        <v>0.22005571030640669</v>
      </c>
      <c r="V380" s="35">
        <f t="shared" si="99"/>
        <v>0.30053804765564951</v>
      </c>
      <c r="X380" s="35">
        <v>8.2609516616314202E-2</v>
      </c>
      <c r="Y380" s="35">
        <v>2.330768504531722E-2</v>
      </c>
      <c r="Z380" s="35">
        <v>0</v>
      </c>
      <c r="AA380" s="35">
        <v>0</v>
      </c>
      <c r="AB380" s="35">
        <v>0</v>
      </c>
      <c r="AC380" s="35">
        <v>0</v>
      </c>
      <c r="AD380" s="35">
        <v>1.0739237160120846E-2</v>
      </c>
      <c r="AE380" s="35">
        <v>4.614331570996979E-3</v>
      </c>
      <c r="AF380" s="35">
        <v>0</v>
      </c>
      <c r="AG380" s="35">
        <v>0</v>
      </c>
      <c r="AH380" s="35">
        <v>0</v>
      </c>
      <c r="AI380" s="35">
        <v>0</v>
      </c>
    </row>
    <row r="381" spans="1:35" x14ac:dyDescent="0.2">
      <c r="A381" s="110" t="s">
        <v>981</v>
      </c>
      <c r="B381" t="s">
        <v>902</v>
      </c>
      <c r="C381" t="s">
        <v>904</v>
      </c>
      <c r="D381" s="35">
        <f t="shared" si="100"/>
        <v>1.407601651746692E-2</v>
      </c>
      <c r="E381" s="35">
        <f t="shared" si="101"/>
        <v>0</v>
      </c>
      <c r="F381" s="35">
        <f t="shared" si="102"/>
        <v>0</v>
      </c>
      <c r="G381" s="35">
        <f t="shared" si="103"/>
        <v>9.9767911504958257E-2</v>
      </c>
      <c r="H381" s="35">
        <f t="shared" si="104"/>
        <v>0</v>
      </c>
      <c r="I381" s="35">
        <f t="shared" si="105"/>
        <v>0</v>
      </c>
      <c r="J381" s="35">
        <v>0.82135214154384062</v>
      </c>
      <c r="K381" s="35">
        <v>4.7321939898122195E-2</v>
      </c>
      <c r="L381" s="35">
        <v>1.7481990535612019E-2</v>
      </c>
      <c r="M381" s="114">
        <f t="shared" si="90"/>
        <v>1</v>
      </c>
      <c r="N381" s="35">
        <f t="shared" si="91"/>
        <v>88.615607197757484</v>
      </c>
      <c r="O381" s="35">
        <f t="shared" si="92"/>
        <v>9.976791150495826</v>
      </c>
      <c r="P381" s="35">
        <f t="shared" si="93"/>
        <v>1.4076016517466921</v>
      </c>
      <c r="Q381" s="35">
        <f t="shared" si="94"/>
        <v>9.2857142857142846E-2</v>
      </c>
      <c r="R381" s="35">
        <f t="shared" si="95"/>
        <v>0</v>
      </c>
      <c r="S381" s="35">
        <f t="shared" si="96"/>
        <v>0</v>
      </c>
      <c r="T381" s="35">
        <f t="shared" si="97"/>
        <v>0</v>
      </c>
      <c r="U381" s="35">
        <f t="shared" si="98"/>
        <v>0.297583081570997</v>
      </c>
      <c r="V381" s="35">
        <f t="shared" si="99"/>
        <v>0.31691648822269808</v>
      </c>
      <c r="X381" s="35">
        <v>7.0078668957410259E-2</v>
      </c>
      <c r="Y381" s="35">
        <v>2.9689242547548001E-2</v>
      </c>
      <c r="Z381" s="35">
        <v>0</v>
      </c>
      <c r="AA381" s="35">
        <v>0</v>
      </c>
      <c r="AB381" s="35">
        <v>0</v>
      </c>
      <c r="AC381" s="35">
        <v>0</v>
      </c>
      <c r="AD381" s="35">
        <v>9.6150947945866112E-3</v>
      </c>
      <c r="AE381" s="35">
        <v>4.4609217228803091E-3</v>
      </c>
      <c r="AF381" s="35">
        <v>0</v>
      </c>
      <c r="AG381" s="35">
        <v>0</v>
      </c>
      <c r="AH381" s="35">
        <v>0</v>
      </c>
      <c r="AI381" s="35">
        <v>0</v>
      </c>
    </row>
    <row r="382" spans="1:35" x14ac:dyDescent="0.2">
      <c r="A382" s="110" t="s">
        <v>981</v>
      </c>
      <c r="B382" t="s">
        <v>902</v>
      </c>
      <c r="C382" t="s">
        <v>904</v>
      </c>
      <c r="D382" s="35">
        <f t="shared" si="100"/>
        <v>1.4837819185645272E-2</v>
      </c>
      <c r="E382" s="35">
        <f t="shared" si="101"/>
        <v>0</v>
      </c>
      <c r="F382" s="35">
        <f t="shared" si="102"/>
        <v>0</v>
      </c>
      <c r="G382" s="35">
        <f t="shared" si="103"/>
        <v>0.1012959128901158</v>
      </c>
      <c r="H382" s="35">
        <f t="shared" si="104"/>
        <v>0</v>
      </c>
      <c r="I382" s="35">
        <f t="shared" si="105"/>
        <v>0</v>
      </c>
      <c r="J382" s="35">
        <v>0.8204892262863277</v>
      </c>
      <c r="K382" s="35">
        <v>4.5625335480407946E-2</v>
      </c>
      <c r="L382" s="35">
        <v>1.7751706157503259E-2</v>
      </c>
      <c r="M382" s="114">
        <f t="shared" si="90"/>
        <v>0.99999999999999989</v>
      </c>
      <c r="N382" s="35">
        <f t="shared" si="91"/>
        <v>88.386626792423897</v>
      </c>
      <c r="O382" s="35">
        <f t="shared" si="92"/>
        <v>10.129591289011582</v>
      </c>
      <c r="P382" s="35">
        <f t="shared" si="93"/>
        <v>1.4837819185645273</v>
      </c>
      <c r="Q382" s="35">
        <f t="shared" si="94"/>
        <v>9.1788487398603222E-2</v>
      </c>
      <c r="R382" s="35">
        <f t="shared" si="95"/>
        <v>0</v>
      </c>
      <c r="S382" s="35">
        <f t="shared" si="96"/>
        <v>0</v>
      </c>
      <c r="T382" s="35">
        <f t="shared" si="97"/>
        <v>0</v>
      </c>
      <c r="U382" s="35">
        <f t="shared" si="98"/>
        <v>0.21271763815291445</v>
      </c>
      <c r="V382" s="35">
        <f t="shared" si="99"/>
        <v>0.29457364341085274</v>
      </c>
      <c r="X382" s="35">
        <v>7.9748485545587E-2</v>
      </c>
      <c r="Y382" s="35">
        <v>2.1547427344528795E-2</v>
      </c>
      <c r="Z382" s="35">
        <v>0</v>
      </c>
      <c r="AA382" s="35">
        <v>0</v>
      </c>
      <c r="AB382" s="35">
        <v>0</v>
      </c>
      <c r="AC382" s="35">
        <v>0</v>
      </c>
      <c r="AD382" s="35">
        <v>1.0466988727858293E-2</v>
      </c>
      <c r="AE382" s="35">
        <v>4.3708304577869794E-3</v>
      </c>
      <c r="AF382" s="35">
        <v>0</v>
      </c>
      <c r="AG382" s="35">
        <v>0</v>
      </c>
      <c r="AH382" s="35">
        <v>0</v>
      </c>
      <c r="AI382" s="35">
        <v>0</v>
      </c>
    </row>
    <row r="383" spans="1:35" x14ac:dyDescent="0.2">
      <c r="A383" s="110" t="s">
        <v>981</v>
      </c>
      <c r="B383" t="s">
        <v>902</v>
      </c>
      <c r="C383" t="s">
        <v>904</v>
      </c>
      <c r="D383" s="35">
        <f t="shared" si="100"/>
        <v>1.4866390666164846E-2</v>
      </c>
      <c r="E383" s="35">
        <f t="shared" si="101"/>
        <v>0</v>
      </c>
      <c r="F383" s="35">
        <f t="shared" si="102"/>
        <v>0</v>
      </c>
      <c r="G383" s="35">
        <f t="shared" si="103"/>
        <v>0.10429055325555137</v>
      </c>
      <c r="H383" s="35">
        <f t="shared" si="104"/>
        <v>0</v>
      </c>
      <c r="I383" s="35">
        <f t="shared" si="105"/>
        <v>0</v>
      </c>
      <c r="J383" s="35">
        <v>0.82047421904403461</v>
      </c>
      <c r="K383" s="35">
        <v>4.2905532555513735E-2</v>
      </c>
      <c r="L383" s="35">
        <v>1.7463304478735415E-2</v>
      </c>
      <c r="M383" s="114">
        <f t="shared" si="90"/>
        <v>1</v>
      </c>
      <c r="N383" s="35">
        <f t="shared" si="91"/>
        <v>88.084305607828384</v>
      </c>
      <c r="O383" s="35">
        <f t="shared" si="92"/>
        <v>10.429055325555137</v>
      </c>
      <c r="P383" s="35">
        <f t="shared" si="93"/>
        <v>1.4866390666164846</v>
      </c>
      <c r="Q383" s="35">
        <f t="shared" si="94"/>
        <v>8.8360963937788403E-2</v>
      </c>
      <c r="R383" s="35">
        <f t="shared" si="95"/>
        <v>0</v>
      </c>
      <c r="S383" s="35">
        <f t="shared" si="96"/>
        <v>0</v>
      </c>
      <c r="T383" s="35">
        <f t="shared" si="97"/>
        <v>0</v>
      </c>
      <c r="U383" s="35">
        <f t="shared" si="98"/>
        <v>0.22049801515698303</v>
      </c>
      <c r="V383" s="35">
        <f t="shared" si="99"/>
        <v>0.2886075949367089</v>
      </c>
      <c r="X383" s="35">
        <v>8.1294693263078657E-2</v>
      </c>
      <c r="Y383" s="35">
        <v>2.2995859992472712E-2</v>
      </c>
      <c r="Z383" s="35">
        <v>0</v>
      </c>
      <c r="AA383" s="35">
        <v>0</v>
      </c>
      <c r="AB383" s="35">
        <v>0</v>
      </c>
      <c r="AC383" s="35">
        <v>0</v>
      </c>
      <c r="AD383" s="35">
        <v>1.0575837410613473E-2</v>
      </c>
      <c r="AE383" s="35">
        <v>4.2905532555513734E-3</v>
      </c>
      <c r="AF383" s="35">
        <v>0</v>
      </c>
      <c r="AG383" s="35">
        <v>0</v>
      </c>
      <c r="AH383" s="35">
        <v>0</v>
      </c>
      <c r="AI383" s="35">
        <v>0</v>
      </c>
    </row>
    <row r="384" spans="1:35" x14ac:dyDescent="0.2">
      <c r="A384" s="110" t="s">
        <v>981</v>
      </c>
      <c r="B384" t="s">
        <v>902</v>
      </c>
      <c r="C384" t="s">
        <v>904</v>
      </c>
      <c r="D384" s="35">
        <f t="shared" si="100"/>
        <v>1.8616335995877351E-2</v>
      </c>
      <c r="E384" s="35">
        <f t="shared" si="101"/>
        <v>0</v>
      </c>
      <c r="F384" s="35">
        <f t="shared" si="102"/>
        <v>0</v>
      </c>
      <c r="G384" s="35">
        <f t="shared" si="103"/>
        <v>0.1143068796701881</v>
      </c>
      <c r="H384" s="35">
        <f t="shared" si="104"/>
        <v>0</v>
      </c>
      <c r="I384" s="35">
        <f t="shared" si="105"/>
        <v>0</v>
      </c>
      <c r="J384" s="35">
        <v>0.80198402473589281</v>
      </c>
      <c r="K384" s="35">
        <v>4.702396289616078E-2</v>
      </c>
      <c r="L384" s="35">
        <v>1.8068796701880958E-2</v>
      </c>
      <c r="M384" s="114">
        <f t="shared" si="90"/>
        <v>1</v>
      </c>
      <c r="N384" s="35">
        <f t="shared" si="91"/>
        <v>86.707678433393454</v>
      </c>
      <c r="O384" s="35">
        <f t="shared" si="92"/>
        <v>11.430687967018811</v>
      </c>
      <c r="P384" s="35">
        <f t="shared" si="93"/>
        <v>1.8616335995877351</v>
      </c>
      <c r="Q384" s="35">
        <f t="shared" si="94"/>
        <v>9.5910255934029187E-2</v>
      </c>
      <c r="R384" s="35">
        <f t="shared" si="95"/>
        <v>0</v>
      </c>
      <c r="S384" s="35">
        <f t="shared" si="96"/>
        <v>0</v>
      </c>
      <c r="T384" s="35">
        <f t="shared" si="97"/>
        <v>0</v>
      </c>
      <c r="U384" s="35">
        <f t="shared" si="98"/>
        <v>0.21104536489151873</v>
      </c>
      <c r="V384" s="35">
        <f t="shared" si="99"/>
        <v>0.30103806228373703</v>
      </c>
      <c r="X384" s="35">
        <v>9.0182942540582331E-2</v>
      </c>
      <c r="Y384" s="35">
        <v>2.4123937129605772E-2</v>
      </c>
      <c r="Z384" s="35">
        <v>0</v>
      </c>
      <c r="AA384" s="35">
        <v>0</v>
      </c>
      <c r="AB384" s="35">
        <v>0</v>
      </c>
      <c r="AC384" s="35">
        <v>0</v>
      </c>
      <c r="AD384" s="35">
        <v>1.301211028085545E-2</v>
      </c>
      <c r="AE384" s="35">
        <v>5.6042257150219019E-3</v>
      </c>
      <c r="AF384" s="35">
        <v>0</v>
      </c>
      <c r="AG384" s="35">
        <v>0</v>
      </c>
      <c r="AH384" s="35">
        <v>0</v>
      </c>
      <c r="AI384" s="35">
        <v>0</v>
      </c>
    </row>
    <row r="385" spans="1:35" x14ac:dyDescent="0.2">
      <c r="A385" s="110" t="s">
        <v>981</v>
      </c>
      <c r="B385" t="s">
        <v>902</v>
      </c>
      <c r="C385" t="s">
        <v>904</v>
      </c>
      <c r="D385" s="35">
        <f t="shared" si="100"/>
        <v>1.3082933181411249E-2</v>
      </c>
      <c r="E385" s="35">
        <f t="shared" si="101"/>
        <v>0</v>
      </c>
      <c r="F385" s="35">
        <f t="shared" si="102"/>
        <v>0</v>
      </c>
      <c r="G385" s="35">
        <f t="shared" si="103"/>
        <v>9.8020265321071054E-2</v>
      </c>
      <c r="H385" s="35">
        <f t="shared" si="104"/>
        <v>0</v>
      </c>
      <c r="I385" s="35">
        <f t="shared" si="105"/>
        <v>0</v>
      </c>
      <c r="J385" s="35">
        <v>0.82404167005778461</v>
      </c>
      <c r="K385" s="35">
        <v>4.6593961097094488E-2</v>
      </c>
      <c r="L385" s="35">
        <v>1.826117034263856E-2</v>
      </c>
      <c r="M385" s="114">
        <f t="shared" si="90"/>
        <v>0.99999999999999989</v>
      </c>
      <c r="N385" s="35">
        <f t="shared" si="91"/>
        <v>88.889680149751769</v>
      </c>
      <c r="O385" s="35">
        <f t="shared" si="92"/>
        <v>9.8020265321071065</v>
      </c>
      <c r="P385" s="35">
        <f t="shared" si="93"/>
        <v>1.3082933181411249</v>
      </c>
      <c r="Q385" s="35">
        <f t="shared" si="94"/>
        <v>9.3505007153075831E-2</v>
      </c>
      <c r="R385" s="35">
        <f t="shared" si="95"/>
        <v>0</v>
      </c>
      <c r="S385" s="35">
        <f t="shared" si="96"/>
        <v>0</v>
      </c>
      <c r="T385" s="35">
        <f t="shared" si="97"/>
        <v>0</v>
      </c>
      <c r="U385" s="35">
        <f t="shared" si="98"/>
        <v>0.23196678775298391</v>
      </c>
      <c r="V385" s="35">
        <f t="shared" si="99"/>
        <v>0.31181959564541212</v>
      </c>
      <c r="X385" s="35">
        <v>7.528281923984699E-2</v>
      </c>
      <c r="Y385" s="35">
        <v>2.2737446081224057E-2</v>
      </c>
      <c r="Z385" s="35">
        <v>0</v>
      </c>
      <c r="AA385" s="35">
        <v>0</v>
      </c>
      <c r="AB385" s="35">
        <v>0</v>
      </c>
      <c r="AC385" s="35">
        <v>0</v>
      </c>
      <c r="AD385" s="35">
        <v>9.0034182469276476E-3</v>
      </c>
      <c r="AE385" s="35">
        <v>4.079514934483601E-3</v>
      </c>
      <c r="AF385" s="35">
        <v>0</v>
      </c>
      <c r="AG385" s="35">
        <v>0</v>
      </c>
      <c r="AH385" s="35">
        <v>0</v>
      </c>
      <c r="AI385" s="35">
        <v>0</v>
      </c>
    </row>
    <row r="386" spans="1:35" x14ac:dyDescent="0.2">
      <c r="A386" s="110" t="s">
        <v>981</v>
      </c>
      <c r="B386" t="s">
        <v>902</v>
      </c>
      <c r="C386" t="s">
        <v>904</v>
      </c>
      <c r="D386" s="35">
        <f t="shared" si="100"/>
        <v>1.4173067772415201E-2</v>
      </c>
      <c r="E386" s="35">
        <f t="shared" si="101"/>
        <v>0</v>
      </c>
      <c r="F386" s="35">
        <f t="shared" si="102"/>
        <v>0</v>
      </c>
      <c r="G386" s="35">
        <f t="shared" si="103"/>
        <v>8.2591258242131732E-2</v>
      </c>
      <c r="H386" s="35">
        <f t="shared" si="104"/>
        <v>0</v>
      </c>
      <c r="I386" s="35">
        <f t="shared" si="105"/>
        <v>0</v>
      </c>
      <c r="J386" s="35">
        <v>0.83610903405614845</v>
      </c>
      <c r="K386" s="35">
        <v>4.486438719325675E-2</v>
      </c>
      <c r="L386" s="35">
        <v>2.2262252736047854E-2</v>
      </c>
      <c r="M386" s="114">
        <f t="shared" si="90"/>
        <v>1</v>
      </c>
      <c r="N386" s="35">
        <f t="shared" si="91"/>
        <v>90.323567398545308</v>
      </c>
      <c r="O386" s="35">
        <f t="shared" si="92"/>
        <v>8.2591258242131733</v>
      </c>
      <c r="P386" s="35">
        <f t="shared" si="93"/>
        <v>1.41730677724152</v>
      </c>
      <c r="Q386" s="35">
        <f t="shared" si="94"/>
        <v>9.896519285042335E-2</v>
      </c>
      <c r="R386" s="35">
        <f t="shared" si="95"/>
        <v>0</v>
      </c>
      <c r="S386" s="35">
        <f t="shared" si="96"/>
        <v>0</v>
      </c>
      <c r="T386" s="35">
        <f t="shared" si="97"/>
        <v>0</v>
      </c>
      <c r="U386" s="35">
        <f t="shared" si="98"/>
        <v>0.22633744855967081</v>
      </c>
      <c r="V386" s="35">
        <f t="shared" si="99"/>
        <v>0.31414868105515587</v>
      </c>
      <c r="X386" s="35">
        <v>6.3897763578274758E-2</v>
      </c>
      <c r="Y386" s="35">
        <v>1.8693494663856978E-2</v>
      </c>
      <c r="Z386" s="35">
        <v>0</v>
      </c>
      <c r="AA386" s="35">
        <v>0</v>
      </c>
      <c r="AB386" s="35">
        <v>0</v>
      </c>
      <c r="AC386" s="35">
        <v>0</v>
      </c>
      <c r="AD386" s="35">
        <v>9.7206172252056293E-3</v>
      </c>
      <c r="AE386" s="35">
        <v>4.4524505472095712E-3</v>
      </c>
      <c r="AF386" s="35">
        <v>0</v>
      </c>
      <c r="AG386" s="35">
        <v>0</v>
      </c>
      <c r="AH386" s="35">
        <v>0</v>
      </c>
      <c r="AI386" s="35">
        <v>0</v>
      </c>
    </row>
    <row r="387" spans="1:35" x14ac:dyDescent="0.2">
      <c r="A387" s="110" t="s">
        <v>981</v>
      </c>
      <c r="B387" t="s">
        <v>902</v>
      </c>
      <c r="C387" t="s">
        <v>904</v>
      </c>
      <c r="D387" s="35">
        <f t="shared" si="100"/>
        <v>1.3793569435998417E-2</v>
      </c>
      <c r="E387" s="35">
        <f t="shared" si="101"/>
        <v>0</v>
      </c>
      <c r="F387" s="35">
        <f t="shared" si="102"/>
        <v>0</v>
      </c>
      <c r="G387" s="35">
        <f t="shared" si="103"/>
        <v>9.7105184412976955E-2</v>
      </c>
      <c r="H387" s="35">
        <f t="shared" si="104"/>
        <v>0</v>
      </c>
      <c r="I387" s="35">
        <f t="shared" si="105"/>
        <v>0</v>
      </c>
      <c r="J387" s="35">
        <v>0.82529754148206069</v>
      </c>
      <c r="K387" s="35">
        <v>4.5849863415670038E-2</v>
      </c>
      <c r="L387" s="35">
        <v>1.795384125329395E-2</v>
      </c>
      <c r="M387" s="114">
        <f t="shared" ref="M387" si="106">SUM(D387:L387)</f>
        <v>1</v>
      </c>
      <c r="N387" s="35">
        <f t="shared" ref="N387" si="107">SUM(J387:L387)/$M387*100</f>
        <v>88.910124615102461</v>
      </c>
      <c r="O387" s="35">
        <f t="shared" ref="O387" si="108">SUM(G387:I387)/$M387*100</f>
        <v>9.7105184412976957</v>
      </c>
      <c r="P387" s="35">
        <f t="shared" ref="P387" si="109">SUM(D387:F387)/$M387*100</f>
        <v>1.3793569435998416</v>
      </c>
      <c r="Q387" s="35">
        <f t="shared" ref="Q387" si="110">(K387+(2*L387))/SUM(J387:L387)</f>
        <v>9.1955270871783734E-2</v>
      </c>
      <c r="R387" s="35">
        <f t="shared" ref="R387" si="111">(H387+(2*I387))/SUM(G387:I387)</f>
        <v>0</v>
      </c>
      <c r="S387" s="35">
        <f t="shared" ref="S387" si="112">(Z387+(2*AB387))/SUM(X387,Z387,AB387)</f>
        <v>0</v>
      </c>
      <c r="T387" s="35">
        <f t="shared" ref="T387" si="113">(AA387+(2*AC387))/SUM(Y387,AA387,AC387)</f>
        <v>0</v>
      </c>
      <c r="U387" s="35">
        <f t="shared" ref="U387" si="114">SUM(Y387,AA387,AC387)/SUM(G387:I387)</f>
        <v>0.21968190854870778</v>
      </c>
      <c r="V387" s="35">
        <f t="shared" ref="V387" si="115">SUM(AE387,AG387,AI387)/SUM(D387:F387)</f>
        <v>0.2792162351294612</v>
      </c>
      <c r="X387" s="35">
        <v>7.5772932171159949E-2</v>
      </c>
      <c r="Y387" s="35">
        <v>2.1332252241817007E-2</v>
      </c>
      <c r="Z387" s="35">
        <v>0</v>
      </c>
      <c r="AA387" s="35">
        <v>0</v>
      </c>
      <c r="AB387" s="35">
        <v>0</v>
      </c>
      <c r="AC387" s="35">
        <v>0</v>
      </c>
      <c r="AD387" s="35">
        <v>9.9421809090821343E-3</v>
      </c>
      <c r="AE387" s="35">
        <v>3.851388526916283E-3</v>
      </c>
      <c r="AF387" s="35">
        <v>0</v>
      </c>
      <c r="AG387" s="35">
        <v>0</v>
      </c>
      <c r="AH387" s="35">
        <v>0</v>
      </c>
      <c r="AI387" s="35">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05"/>
  <sheetViews>
    <sheetView workbookViewId="0">
      <selection activeCell="T89" sqref="T89"/>
    </sheetView>
  </sheetViews>
  <sheetFormatPr baseColWidth="10" defaultColWidth="8.83203125" defaultRowHeight="14" x14ac:dyDescent="0.2"/>
  <cols>
    <col min="1" max="1" width="32.33203125" style="330" customWidth="1"/>
    <col min="2" max="2" width="17.5" style="329" customWidth="1"/>
    <col min="3" max="3" width="35.6640625" style="330" bestFit="1" customWidth="1"/>
    <col min="4" max="4" width="12.33203125" style="330" customWidth="1"/>
    <col min="5" max="5" width="11.5" style="331" customWidth="1"/>
    <col min="6" max="6" width="13.1640625" style="331" customWidth="1"/>
    <col min="7" max="7" width="12.5" style="332" customWidth="1"/>
    <col min="8" max="8" width="12.33203125" style="332" customWidth="1"/>
    <col min="9" max="9" width="11.83203125" style="333" customWidth="1"/>
    <col min="10" max="10" width="11.6640625" style="332" customWidth="1"/>
    <col min="11" max="11" width="14.33203125" style="332" customWidth="1"/>
    <col min="12" max="14" width="8.6640625" style="332" customWidth="1"/>
    <col min="15" max="15" width="8.6640625" style="333" customWidth="1"/>
    <col min="16" max="18" width="8.6640625" style="332" customWidth="1"/>
    <col min="19" max="19" width="25.5" style="334" customWidth="1"/>
    <col min="20" max="23" width="8.6640625" style="470" customWidth="1"/>
    <col min="24" max="24" width="16.1640625" style="334" customWidth="1"/>
    <col min="25" max="25" width="18.33203125" style="329" customWidth="1"/>
    <col min="26" max="26" width="43.33203125" style="330" customWidth="1"/>
    <col min="27" max="27" width="37" style="334" customWidth="1"/>
    <col min="28" max="28" width="53.5" style="335" customWidth="1"/>
    <col min="29" max="29" width="76" style="335" bestFit="1" customWidth="1"/>
    <col min="30" max="16384" width="8.83203125" style="330"/>
  </cols>
  <sheetData>
    <row r="1" spans="1:30" x14ac:dyDescent="0.2">
      <c r="A1" s="328" t="s">
        <v>656</v>
      </c>
    </row>
    <row r="2" spans="1:30" x14ac:dyDescent="0.2">
      <c r="A2" s="328"/>
    </row>
    <row r="3" spans="1:30" ht="18.5" customHeight="1" x14ac:dyDescent="0.2">
      <c r="A3" s="635" t="s">
        <v>688</v>
      </c>
      <c r="B3" s="636"/>
      <c r="C3" s="636"/>
      <c r="D3" s="636"/>
      <c r="E3" s="636"/>
      <c r="F3" s="636"/>
      <c r="G3" s="636"/>
      <c r="H3" s="636"/>
      <c r="I3" s="636"/>
      <c r="J3" s="636"/>
      <c r="K3" s="636"/>
      <c r="L3" s="636"/>
      <c r="M3" s="636"/>
      <c r="N3" s="636"/>
      <c r="O3" s="636"/>
      <c r="P3" s="636"/>
      <c r="Q3" s="636"/>
      <c r="R3" s="636"/>
      <c r="S3" s="336"/>
      <c r="T3" s="471"/>
      <c r="U3" s="471"/>
      <c r="V3" s="471"/>
      <c r="W3" s="471"/>
      <c r="X3" s="336"/>
      <c r="Y3" s="336"/>
      <c r="Z3" s="336"/>
      <c r="AA3" s="336"/>
    </row>
    <row r="4" spans="1:30" ht="15.75" customHeight="1" x14ac:dyDescent="0.2">
      <c r="A4" s="635"/>
      <c r="B4" s="636"/>
      <c r="C4" s="636"/>
      <c r="D4" s="636"/>
      <c r="E4" s="636"/>
      <c r="F4" s="636"/>
      <c r="G4" s="636"/>
      <c r="H4" s="636"/>
      <c r="I4" s="636"/>
      <c r="J4" s="636"/>
      <c r="K4" s="636"/>
      <c r="L4" s="636"/>
      <c r="M4" s="636"/>
      <c r="N4" s="636"/>
      <c r="O4" s="636"/>
      <c r="P4" s="636"/>
      <c r="Q4" s="636"/>
      <c r="R4" s="636"/>
      <c r="S4" s="336"/>
      <c r="T4" s="471"/>
      <c r="U4" s="471"/>
      <c r="V4" s="471"/>
      <c r="W4" s="471"/>
      <c r="X4" s="336"/>
      <c r="Y4" s="336"/>
      <c r="Z4" s="336"/>
      <c r="AA4" s="336"/>
    </row>
    <row r="5" spans="1:30" ht="15" thickBot="1" x14ac:dyDescent="0.25">
      <c r="A5" s="337"/>
    </row>
    <row r="6" spans="1:30" s="335" customFormat="1" ht="15.75" customHeight="1" thickBot="1" x14ac:dyDescent="0.25">
      <c r="A6" s="338" t="s">
        <v>45</v>
      </c>
      <c r="B6" s="339" t="s">
        <v>47</v>
      </c>
      <c r="C6" s="338" t="s">
        <v>0</v>
      </c>
      <c r="D6" s="340" t="s">
        <v>185</v>
      </c>
      <c r="E6" s="341" t="s">
        <v>192</v>
      </c>
      <c r="F6" s="342" t="s">
        <v>193</v>
      </c>
      <c r="G6" s="641" t="s">
        <v>157</v>
      </c>
      <c r="H6" s="642"/>
      <c r="I6" s="643" t="s">
        <v>158</v>
      </c>
      <c r="J6" s="643"/>
      <c r="K6" s="552" t="s">
        <v>159</v>
      </c>
      <c r="L6" s="644" t="s">
        <v>526</v>
      </c>
      <c r="M6" s="644"/>
      <c r="N6" s="644"/>
      <c r="O6" s="644"/>
      <c r="P6" s="644"/>
      <c r="Q6" s="644"/>
      <c r="R6" s="644"/>
      <c r="S6" s="542" t="s">
        <v>68</v>
      </c>
      <c r="T6" s="504" t="s">
        <v>208</v>
      </c>
      <c r="U6" s="504" t="s">
        <v>764</v>
      </c>
      <c r="V6" s="637" t="s">
        <v>875</v>
      </c>
      <c r="W6" s="638"/>
      <c r="X6" s="344" t="s">
        <v>210</v>
      </c>
      <c r="Y6" s="345" t="s">
        <v>44</v>
      </c>
      <c r="Z6" s="346" t="s">
        <v>151</v>
      </c>
      <c r="AA6" s="343" t="s">
        <v>1</v>
      </c>
      <c r="AB6" s="347" t="s">
        <v>194</v>
      </c>
      <c r="AC6" s="347" t="s">
        <v>93</v>
      </c>
    </row>
    <row r="7" spans="1:30" s="359" customFormat="1" ht="15" thickBot="1" x14ac:dyDescent="0.25">
      <c r="A7" s="348"/>
      <c r="B7" s="349"/>
      <c r="C7" s="348"/>
      <c r="D7" s="350"/>
      <c r="E7" s="351"/>
      <c r="F7" s="352"/>
      <c r="G7" s="553" t="s">
        <v>160</v>
      </c>
      <c r="H7" s="554" t="s">
        <v>161</v>
      </c>
      <c r="I7" s="555" t="s">
        <v>160</v>
      </c>
      <c r="J7" s="555" t="s">
        <v>161</v>
      </c>
      <c r="K7" s="556" t="s">
        <v>160</v>
      </c>
      <c r="L7" s="353" t="s">
        <v>684</v>
      </c>
      <c r="M7" s="353" t="s">
        <v>667</v>
      </c>
      <c r="N7" s="353" t="s">
        <v>686</v>
      </c>
      <c r="O7" s="354" t="s">
        <v>189</v>
      </c>
      <c r="P7" s="354" t="s">
        <v>687</v>
      </c>
      <c r="Q7" s="354" t="s">
        <v>668</v>
      </c>
      <c r="R7" s="354" t="s">
        <v>685</v>
      </c>
      <c r="S7" s="543"/>
      <c r="T7" s="505"/>
      <c r="U7" s="505" t="s">
        <v>876</v>
      </c>
      <c r="V7" s="520" t="s">
        <v>873</v>
      </c>
      <c r="W7" s="504" t="s">
        <v>874</v>
      </c>
      <c r="X7" s="356"/>
      <c r="Y7" s="357"/>
      <c r="Z7" s="358"/>
      <c r="AA7" s="355"/>
      <c r="AB7" s="350"/>
      <c r="AC7" s="350"/>
      <c r="AD7" s="330"/>
    </row>
    <row r="8" spans="1:30" ht="15" x14ac:dyDescent="0.2">
      <c r="A8" s="360" t="s">
        <v>110</v>
      </c>
      <c r="B8" s="361" t="s">
        <v>56</v>
      </c>
      <c r="C8" s="362" t="s">
        <v>753</v>
      </c>
      <c r="D8" s="363" t="s">
        <v>187</v>
      </c>
      <c r="E8" s="364">
        <v>75.5</v>
      </c>
      <c r="F8" s="365">
        <v>136</v>
      </c>
      <c r="G8" s="557">
        <v>75.225133544000002</v>
      </c>
      <c r="H8" s="558">
        <v>121.902806555</v>
      </c>
      <c r="I8" s="559">
        <v>79.695014714300001</v>
      </c>
      <c r="J8" s="558">
        <v>85.344086546499994</v>
      </c>
      <c r="K8" s="560">
        <f t="shared" ref="K8:K39" si="0">I8-G8</f>
        <v>4.469881170299999</v>
      </c>
      <c r="L8" s="591">
        <v>4.3</v>
      </c>
      <c r="M8" s="591"/>
      <c r="N8" s="593">
        <v>15.384615384615385</v>
      </c>
      <c r="O8" s="594">
        <v>18.53846153846154</v>
      </c>
      <c r="P8" s="593">
        <v>23.076923076923077</v>
      </c>
      <c r="Q8" s="593"/>
      <c r="R8" s="591">
        <v>4.3</v>
      </c>
      <c r="S8" s="596" t="s">
        <v>676</v>
      </c>
      <c r="T8" s="597">
        <v>1</v>
      </c>
      <c r="U8" s="598">
        <v>14</v>
      </c>
      <c r="V8" s="598">
        <v>14</v>
      </c>
      <c r="W8" s="602"/>
      <c r="X8" s="599" t="s">
        <v>661</v>
      </c>
      <c r="Y8" s="366" t="s">
        <v>752</v>
      </c>
      <c r="Z8" s="601"/>
      <c r="AA8" s="367" t="s">
        <v>18</v>
      </c>
      <c r="AB8" s="363" t="s">
        <v>18</v>
      </c>
      <c r="AC8" s="368"/>
      <c r="AD8" s="359"/>
    </row>
    <row r="9" spans="1:30" x14ac:dyDescent="0.2">
      <c r="A9" s="369" t="s">
        <v>25</v>
      </c>
      <c r="B9" s="370" t="s">
        <v>63</v>
      </c>
      <c r="C9" s="371" t="s">
        <v>75</v>
      </c>
      <c r="D9" s="372" t="s">
        <v>187</v>
      </c>
      <c r="E9" s="373">
        <v>78.8</v>
      </c>
      <c r="F9" s="374">
        <v>-82</v>
      </c>
      <c r="G9" s="398">
        <v>78.886149918200005</v>
      </c>
      <c r="H9" s="390">
        <v>-35.264581549100001</v>
      </c>
      <c r="I9" s="391">
        <v>69.288957839700004</v>
      </c>
      <c r="J9" s="390">
        <v>-20.048233218</v>
      </c>
      <c r="K9" s="426">
        <f t="shared" si="0"/>
        <v>-9.5971920785000009</v>
      </c>
      <c r="L9" s="375">
        <v>5.5</v>
      </c>
      <c r="M9" s="375"/>
      <c r="N9" s="375">
        <f t="shared" ref="N9:N55" si="1">O9-L9</f>
        <v>-1.5</v>
      </c>
      <c r="O9" s="376">
        <v>4</v>
      </c>
      <c r="P9" s="375">
        <f t="shared" ref="P9:P55" si="2">O9+R9</f>
        <v>9.5</v>
      </c>
      <c r="Q9" s="375"/>
      <c r="R9" s="375">
        <v>5.5</v>
      </c>
      <c r="S9" s="527" t="s">
        <v>112</v>
      </c>
      <c r="T9" s="544">
        <v>1</v>
      </c>
      <c r="U9" s="521">
        <v>1</v>
      </c>
      <c r="V9" s="521">
        <v>1</v>
      </c>
      <c r="W9" s="540"/>
      <c r="X9" s="412" t="s">
        <v>888</v>
      </c>
      <c r="Y9" s="379" t="s">
        <v>752</v>
      </c>
      <c r="Z9" s="380"/>
      <c r="AA9" s="381" t="s">
        <v>28</v>
      </c>
      <c r="AB9" s="372" t="s">
        <v>28</v>
      </c>
      <c r="AC9" s="382" t="s">
        <v>27</v>
      </c>
      <c r="AD9" s="359"/>
    </row>
    <row r="10" spans="1:30" x14ac:dyDescent="0.2">
      <c r="A10" s="371" t="s">
        <v>117</v>
      </c>
      <c r="B10" s="372" t="s">
        <v>95</v>
      </c>
      <c r="C10" s="371" t="s">
        <v>545</v>
      </c>
      <c r="D10" s="372" t="s">
        <v>187</v>
      </c>
      <c r="E10" s="373">
        <v>54.8</v>
      </c>
      <c r="F10" s="374">
        <v>-127</v>
      </c>
      <c r="G10" s="398">
        <v>60.804410615400002</v>
      </c>
      <c r="H10" s="390">
        <v>-113.536767115</v>
      </c>
      <c r="I10" s="391">
        <v>60.954253325400003</v>
      </c>
      <c r="J10" s="390">
        <v>-90.318313636400006</v>
      </c>
      <c r="K10" s="426">
        <f t="shared" si="0"/>
        <v>0.14984271000000149</v>
      </c>
      <c r="L10" s="375">
        <v>3.6</v>
      </c>
      <c r="M10" s="375"/>
      <c r="N10" s="375">
        <f t="shared" si="1"/>
        <v>4.6500000000000004</v>
      </c>
      <c r="O10" s="376">
        <v>8.25</v>
      </c>
      <c r="P10" s="375">
        <f t="shared" si="2"/>
        <v>11.85</v>
      </c>
      <c r="Q10" s="375"/>
      <c r="R10" s="375">
        <v>3.6</v>
      </c>
      <c r="S10" s="531" t="s">
        <v>113</v>
      </c>
      <c r="T10" s="544">
        <v>1</v>
      </c>
      <c r="U10" s="521">
        <v>1</v>
      </c>
      <c r="V10" s="521">
        <v>1</v>
      </c>
      <c r="W10" s="540"/>
      <c r="X10" s="383" t="s">
        <v>662</v>
      </c>
      <c r="Y10" s="379" t="s">
        <v>752</v>
      </c>
      <c r="Z10" s="384" t="s">
        <v>147</v>
      </c>
      <c r="AA10" s="381" t="s">
        <v>139</v>
      </c>
      <c r="AB10" s="372" t="s">
        <v>4</v>
      </c>
      <c r="AC10" s="382"/>
      <c r="AD10" s="359"/>
    </row>
    <row r="11" spans="1:30" s="359" customFormat="1" x14ac:dyDescent="0.2">
      <c r="A11" s="371" t="s">
        <v>655</v>
      </c>
      <c r="B11" s="372" t="s">
        <v>94</v>
      </c>
      <c r="C11" s="371" t="s">
        <v>8</v>
      </c>
      <c r="D11" s="372" t="s">
        <v>187</v>
      </c>
      <c r="E11" s="373">
        <f>75+29.3/60</f>
        <v>75.48833333333333</v>
      </c>
      <c r="F11" s="374">
        <f>-6-56.8/60</f>
        <v>-6.9466666666666663</v>
      </c>
      <c r="G11" s="398">
        <v>68.870482529499995</v>
      </c>
      <c r="H11" s="390">
        <v>11.083907652700001</v>
      </c>
      <c r="I11" s="391">
        <v>59.539888539099998</v>
      </c>
      <c r="J11" s="390">
        <v>8.8473728789599999</v>
      </c>
      <c r="K11" s="426">
        <f t="shared" si="0"/>
        <v>-9.330593990399997</v>
      </c>
      <c r="L11" s="375">
        <v>4.0999999999999996</v>
      </c>
      <c r="M11" s="375"/>
      <c r="N11" s="375">
        <f t="shared" si="1"/>
        <v>10.628571428571426</v>
      </c>
      <c r="O11" s="376">
        <v>14.728571428571426</v>
      </c>
      <c r="P11" s="375">
        <f t="shared" si="2"/>
        <v>18.828571428571426</v>
      </c>
      <c r="Q11" s="375"/>
      <c r="R11" s="375">
        <v>4.0999999999999996</v>
      </c>
      <c r="S11" s="529" t="s">
        <v>107</v>
      </c>
      <c r="T11" s="544">
        <v>1</v>
      </c>
      <c r="U11" s="521">
        <v>7</v>
      </c>
      <c r="V11" s="521">
        <v>7</v>
      </c>
      <c r="W11" s="540"/>
      <c r="X11" s="386" t="s">
        <v>661</v>
      </c>
      <c r="Y11" s="379" t="s">
        <v>184</v>
      </c>
      <c r="Z11" s="387"/>
      <c r="AA11" s="381" t="s">
        <v>138</v>
      </c>
      <c r="AB11" s="372" t="s">
        <v>4</v>
      </c>
      <c r="AC11" s="382"/>
    </row>
    <row r="12" spans="1:30" s="359" customFormat="1" x14ac:dyDescent="0.2">
      <c r="A12" s="371" t="s">
        <v>140</v>
      </c>
      <c r="B12" s="372" t="s">
        <v>95</v>
      </c>
      <c r="C12" s="371" t="s">
        <v>546</v>
      </c>
      <c r="D12" s="372" t="s">
        <v>187</v>
      </c>
      <c r="E12" s="373">
        <v>51</v>
      </c>
      <c r="F12" s="374">
        <v>-121</v>
      </c>
      <c r="G12" s="398">
        <v>56.7543557419</v>
      </c>
      <c r="H12" s="390">
        <v>-107.094803418</v>
      </c>
      <c r="I12" s="391">
        <v>56.031832592999997</v>
      </c>
      <c r="J12" s="390">
        <v>-86.847510676900001</v>
      </c>
      <c r="K12" s="426">
        <f t="shared" si="0"/>
        <v>-0.72252314890000235</v>
      </c>
      <c r="L12" s="375">
        <v>3.6</v>
      </c>
      <c r="M12" s="375"/>
      <c r="N12" s="375">
        <f t="shared" si="1"/>
        <v>9.2000000000000011</v>
      </c>
      <c r="O12" s="376">
        <v>12.8</v>
      </c>
      <c r="P12" s="375">
        <f t="shared" si="2"/>
        <v>16.400000000000002</v>
      </c>
      <c r="Q12" s="375"/>
      <c r="R12" s="375">
        <v>3.6</v>
      </c>
      <c r="S12" s="531" t="s">
        <v>113</v>
      </c>
      <c r="T12" s="544">
        <v>1</v>
      </c>
      <c r="U12" s="521">
        <v>1</v>
      </c>
      <c r="V12" s="521">
        <v>1</v>
      </c>
      <c r="W12" s="540"/>
      <c r="X12" s="383" t="s">
        <v>662</v>
      </c>
      <c r="Y12" s="379" t="s">
        <v>752</v>
      </c>
      <c r="Z12" s="384" t="s">
        <v>147</v>
      </c>
      <c r="AA12" s="381" t="s">
        <v>139</v>
      </c>
      <c r="AB12" s="372" t="s">
        <v>4</v>
      </c>
      <c r="AC12" s="382"/>
    </row>
    <row r="13" spans="1:30" s="359" customFormat="1" x14ac:dyDescent="0.2">
      <c r="A13" s="371" t="s">
        <v>141</v>
      </c>
      <c r="B13" s="372" t="s">
        <v>95</v>
      </c>
      <c r="C13" s="371" t="s">
        <v>547</v>
      </c>
      <c r="D13" s="372" t="s">
        <v>187</v>
      </c>
      <c r="E13" s="373">
        <v>50.5</v>
      </c>
      <c r="F13" s="374">
        <v>-119.6</v>
      </c>
      <c r="G13" s="398">
        <v>56.185612025200001</v>
      </c>
      <c r="H13" s="390">
        <v>-105.56809901600001</v>
      </c>
      <c r="I13" s="391">
        <v>55.232014849199999</v>
      </c>
      <c r="J13" s="390">
        <v>-85.734285483400001</v>
      </c>
      <c r="K13" s="426">
        <f t="shared" si="0"/>
        <v>-0.95359717600000238</v>
      </c>
      <c r="L13" s="375">
        <v>3.6</v>
      </c>
      <c r="M13" s="375"/>
      <c r="N13" s="375">
        <f t="shared" si="1"/>
        <v>5.3000000000000007</v>
      </c>
      <c r="O13" s="376">
        <v>8.9</v>
      </c>
      <c r="P13" s="375">
        <f t="shared" si="2"/>
        <v>12.5</v>
      </c>
      <c r="Q13" s="375"/>
      <c r="R13" s="375">
        <v>3.6</v>
      </c>
      <c r="S13" s="531" t="s">
        <v>113</v>
      </c>
      <c r="T13" s="544">
        <v>1</v>
      </c>
      <c r="U13" s="521">
        <v>1</v>
      </c>
      <c r="V13" s="521">
        <v>1</v>
      </c>
      <c r="W13" s="540"/>
      <c r="X13" s="383" t="s">
        <v>662</v>
      </c>
      <c r="Y13" s="379" t="s">
        <v>752</v>
      </c>
      <c r="Z13" s="384" t="s">
        <v>147</v>
      </c>
      <c r="AA13" s="381" t="s">
        <v>139</v>
      </c>
      <c r="AB13" s="372" t="s">
        <v>4</v>
      </c>
      <c r="AC13" s="382"/>
    </row>
    <row r="14" spans="1:30" s="359" customFormat="1" x14ac:dyDescent="0.2">
      <c r="A14" s="371" t="s">
        <v>142</v>
      </c>
      <c r="B14" s="372" t="s">
        <v>95</v>
      </c>
      <c r="C14" s="371" t="s">
        <v>528</v>
      </c>
      <c r="D14" s="372" t="s">
        <v>187</v>
      </c>
      <c r="E14" s="373">
        <f>50+7.7/60</f>
        <v>50.12833333333333</v>
      </c>
      <c r="F14" s="374">
        <f>-120-30.4/60</f>
        <v>-120.50666666666666</v>
      </c>
      <c r="G14" s="398">
        <v>55.860997311799998</v>
      </c>
      <c r="H14" s="390">
        <v>-106.653556188</v>
      </c>
      <c r="I14" s="391">
        <v>55.106426064799997</v>
      </c>
      <c r="J14" s="390">
        <v>-86.9186345926</v>
      </c>
      <c r="K14" s="426">
        <f t="shared" si="0"/>
        <v>-0.75457124700000122</v>
      </c>
      <c r="L14" s="375">
        <v>3.6</v>
      </c>
      <c r="M14" s="375"/>
      <c r="N14" s="375">
        <f t="shared" si="1"/>
        <v>15.430000000000001</v>
      </c>
      <c r="O14" s="376">
        <v>19.03</v>
      </c>
      <c r="P14" s="375">
        <f t="shared" si="2"/>
        <v>22.630000000000003</v>
      </c>
      <c r="Q14" s="375"/>
      <c r="R14" s="375">
        <v>3.6</v>
      </c>
      <c r="S14" s="531" t="s">
        <v>113</v>
      </c>
      <c r="T14" s="544">
        <v>1</v>
      </c>
      <c r="U14" s="521">
        <v>1</v>
      </c>
      <c r="V14" s="521">
        <v>1</v>
      </c>
      <c r="W14" s="540"/>
      <c r="X14" s="383" t="s">
        <v>662</v>
      </c>
      <c r="Y14" s="379" t="s">
        <v>752</v>
      </c>
      <c r="Z14" s="384" t="s">
        <v>147</v>
      </c>
      <c r="AA14" s="381" t="s">
        <v>139</v>
      </c>
      <c r="AB14" s="372" t="s">
        <v>4</v>
      </c>
      <c r="AC14" s="382"/>
    </row>
    <row r="15" spans="1:30" s="359" customFormat="1" x14ac:dyDescent="0.2">
      <c r="A15" s="369" t="s">
        <v>549</v>
      </c>
      <c r="B15" s="372" t="s">
        <v>95</v>
      </c>
      <c r="C15" s="371" t="s">
        <v>75</v>
      </c>
      <c r="D15" s="372" t="s">
        <v>187</v>
      </c>
      <c r="E15" s="373">
        <v>49.52</v>
      </c>
      <c r="F15" s="374">
        <v>-121.64</v>
      </c>
      <c r="G15" s="398">
        <v>55.3093489404</v>
      </c>
      <c r="H15" s="390">
        <v>-108.02449289400001</v>
      </c>
      <c r="I15" s="391">
        <v>54.813602603500001</v>
      </c>
      <c r="J15" s="390">
        <v>-88.494782525800005</v>
      </c>
      <c r="K15" s="426">
        <f t="shared" si="0"/>
        <v>-0.49574633689999814</v>
      </c>
      <c r="L15" s="375">
        <v>2</v>
      </c>
      <c r="M15" s="375"/>
      <c r="N15" s="375">
        <f t="shared" si="1"/>
        <v>5.3</v>
      </c>
      <c r="O15" s="376">
        <v>7.3</v>
      </c>
      <c r="P15" s="375">
        <f t="shared" si="2"/>
        <v>9.3000000000000007</v>
      </c>
      <c r="Q15" s="375"/>
      <c r="R15" s="375">
        <v>2</v>
      </c>
      <c r="S15" s="531" t="s">
        <v>108</v>
      </c>
      <c r="T15" s="544">
        <v>1</v>
      </c>
      <c r="U15" s="521">
        <v>1</v>
      </c>
      <c r="V15" s="521">
        <v>1</v>
      </c>
      <c r="W15" s="540"/>
      <c r="X15" s="383" t="s">
        <v>662</v>
      </c>
      <c r="Y15" s="388" t="s">
        <v>752</v>
      </c>
      <c r="Z15" s="384" t="s">
        <v>146</v>
      </c>
      <c r="AA15" s="381" t="s">
        <v>6</v>
      </c>
      <c r="AB15" s="389" t="s">
        <v>7</v>
      </c>
      <c r="AC15" s="382"/>
    </row>
    <row r="16" spans="1:30" s="359" customFormat="1" x14ac:dyDescent="0.2">
      <c r="A16" s="371" t="s">
        <v>548</v>
      </c>
      <c r="B16" s="372" t="s">
        <v>95</v>
      </c>
      <c r="C16" s="371" t="s">
        <v>529</v>
      </c>
      <c r="D16" s="372" t="s">
        <v>187</v>
      </c>
      <c r="E16" s="373">
        <v>49.5</v>
      </c>
      <c r="F16" s="374">
        <v>-120.5</v>
      </c>
      <c r="G16" s="398">
        <v>55.2341932267</v>
      </c>
      <c r="H16" s="390">
        <v>-106.73137434500001</v>
      </c>
      <c r="I16" s="391">
        <v>54.5217353209</v>
      </c>
      <c r="J16" s="390">
        <v>-87.318011271100005</v>
      </c>
      <c r="K16" s="426">
        <f t="shared" si="0"/>
        <v>-0.7124579058000009</v>
      </c>
      <c r="L16" s="375">
        <v>2</v>
      </c>
      <c r="M16" s="375"/>
      <c r="N16" s="375">
        <f t="shared" si="1"/>
        <v>5.3</v>
      </c>
      <c r="O16" s="376">
        <v>7.3</v>
      </c>
      <c r="P16" s="375">
        <f t="shared" si="2"/>
        <v>9.3000000000000007</v>
      </c>
      <c r="Q16" s="375"/>
      <c r="R16" s="375">
        <v>2</v>
      </c>
      <c r="S16" s="531" t="s">
        <v>108</v>
      </c>
      <c r="T16" s="544">
        <v>1</v>
      </c>
      <c r="U16" s="521">
        <v>1</v>
      </c>
      <c r="V16" s="521">
        <v>1</v>
      </c>
      <c r="W16" s="540"/>
      <c r="X16" s="383" t="s">
        <v>662</v>
      </c>
      <c r="Y16" s="388" t="s">
        <v>752</v>
      </c>
      <c r="Z16" s="384" t="s">
        <v>146</v>
      </c>
      <c r="AA16" s="381" t="s">
        <v>6</v>
      </c>
      <c r="AB16" s="389" t="s">
        <v>7</v>
      </c>
      <c r="AC16" s="382"/>
    </row>
    <row r="17" spans="1:30" s="359" customFormat="1" x14ac:dyDescent="0.2">
      <c r="A17" s="371" t="s">
        <v>548</v>
      </c>
      <c r="B17" s="372" t="s">
        <v>95</v>
      </c>
      <c r="C17" s="371" t="s">
        <v>75</v>
      </c>
      <c r="D17" s="372" t="s">
        <v>187</v>
      </c>
      <c r="E17" s="373">
        <v>49.5</v>
      </c>
      <c r="F17" s="374">
        <v>-120.5</v>
      </c>
      <c r="G17" s="398">
        <v>55.2341932267</v>
      </c>
      <c r="H17" s="390">
        <v>-106.73137434500001</v>
      </c>
      <c r="I17" s="391">
        <v>54.5217353209</v>
      </c>
      <c r="J17" s="390">
        <v>-87.318011271100005</v>
      </c>
      <c r="K17" s="426">
        <f t="shared" si="0"/>
        <v>-0.7124579058000009</v>
      </c>
      <c r="L17" s="375">
        <v>3.6</v>
      </c>
      <c r="M17" s="375"/>
      <c r="N17" s="375">
        <f t="shared" si="1"/>
        <v>1.4</v>
      </c>
      <c r="O17" s="376">
        <v>5</v>
      </c>
      <c r="P17" s="375">
        <f t="shared" si="2"/>
        <v>8.6</v>
      </c>
      <c r="Q17" s="375"/>
      <c r="R17" s="375">
        <v>3.6</v>
      </c>
      <c r="S17" s="531" t="s">
        <v>113</v>
      </c>
      <c r="T17" s="544">
        <v>1</v>
      </c>
      <c r="U17" s="521">
        <v>1</v>
      </c>
      <c r="V17" s="521">
        <v>1</v>
      </c>
      <c r="W17" s="540"/>
      <c r="X17" s="383" t="s">
        <v>662</v>
      </c>
      <c r="Y17" s="379" t="s">
        <v>752</v>
      </c>
      <c r="Z17" s="384" t="s">
        <v>147</v>
      </c>
      <c r="AA17" s="381" t="s">
        <v>139</v>
      </c>
      <c r="AB17" s="372" t="s">
        <v>4</v>
      </c>
      <c r="AC17" s="382"/>
    </row>
    <row r="18" spans="1:30" s="359" customFormat="1" x14ac:dyDescent="0.2">
      <c r="A18" s="371" t="s">
        <v>583</v>
      </c>
      <c r="B18" s="372" t="s">
        <v>60</v>
      </c>
      <c r="C18" s="371" t="s">
        <v>75</v>
      </c>
      <c r="D18" s="372" t="s">
        <v>187</v>
      </c>
      <c r="E18" s="373">
        <v>48.7</v>
      </c>
      <c r="F18" s="374">
        <v>-122.5</v>
      </c>
      <c r="G18" s="398">
        <v>54.531290347599999</v>
      </c>
      <c r="H18" s="390">
        <v>-109.102687343</v>
      </c>
      <c r="I18" s="391">
        <v>54.255035808700001</v>
      </c>
      <c r="J18" s="390">
        <v>-89.913254991200006</v>
      </c>
      <c r="K18" s="426">
        <f t="shared" si="0"/>
        <v>-0.27625453889999818</v>
      </c>
      <c r="L18" s="390">
        <v>2.1</v>
      </c>
      <c r="M18" s="390"/>
      <c r="N18" s="375">
        <f t="shared" si="1"/>
        <v>13.5</v>
      </c>
      <c r="O18" s="391">
        <v>15.6</v>
      </c>
      <c r="P18" s="375">
        <f t="shared" si="2"/>
        <v>17.7</v>
      </c>
      <c r="Q18" s="375"/>
      <c r="R18" s="390">
        <v>2.1</v>
      </c>
      <c r="S18" s="531" t="s">
        <v>566</v>
      </c>
      <c r="T18" s="544">
        <v>1</v>
      </c>
      <c r="U18" s="521">
        <v>6</v>
      </c>
      <c r="V18" s="521">
        <v>6</v>
      </c>
      <c r="W18" s="540"/>
      <c r="X18" s="383" t="s">
        <v>662</v>
      </c>
      <c r="Y18" s="388" t="s">
        <v>752</v>
      </c>
      <c r="Z18" s="380" t="s">
        <v>567</v>
      </c>
      <c r="AA18" s="381" t="s">
        <v>558</v>
      </c>
      <c r="AB18" s="372" t="s">
        <v>568</v>
      </c>
      <c r="AC18" s="382" t="s">
        <v>584</v>
      </c>
    </row>
    <row r="19" spans="1:30" s="359" customFormat="1" x14ac:dyDescent="0.2">
      <c r="A19" s="371" t="s">
        <v>583</v>
      </c>
      <c r="B19" s="372" t="s">
        <v>60</v>
      </c>
      <c r="C19" s="371" t="s">
        <v>75</v>
      </c>
      <c r="D19" s="372" t="s">
        <v>187</v>
      </c>
      <c r="E19" s="373">
        <v>48.7</v>
      </c>
      <c r="F19" s="374">
        <v>-122.5</v>
      </c>
      <c r="G19" s="398">
        <v>54.531290347599999</v>
      </c>
      <c r="H19" s="390">
        <v>-109.102687343</v>
      </c>
      <c r="I19" s="391">
        <v>54.255035808700001</v>
      </c>
      <c r="J19" s="390">
        <v>-89.913254991200006</v>
      </c>
      <c r="K19" s="426">
        <f t="shared" si="0"/>
        <v>-0.27625453889999818</v>
      </c>
      <c r="L19" s="390">
        <v>2.8699999999999997</v>
      </c>
      <c r="M19" s="390"/>
      <c r="N19" s="375">
        <f t="shared" si="1"/>
        <v>16.254999999999999</v>
      </c>
      <c r="O19" s="391">
        <v>19.125</v>
      </c>
      <c r="P19" s="375">
        <f t="shared" si="2"/>
        <v>21.995000000000001</v>
      </c>
      <c r="Q19" s="375"/>
      <c r="R19" s="390">
        <v>2.8699999999999997</v>
      </c>
      <c r="S19" s="531" t="s">
        <v>556</v>
      </c>
      <c r="T19" s="544">
        <v>1</v>
      </c>
      <c r="U19" s="521">
        <v>6</v>
      </c>
      <c r="V19" s="521">
        <v>6</v>
      </c>
      <c r="W19" s="540"/>
      <c r="X19" s="383" t="s">
        <v>662</v>
      </c>
      <c r="Y19" s="379" t="s">
        <v>752</v>
      </c>
      <c r="Z19" s="380" t="s">
        <v>557</v>
      </c>
      <c r="AA19" s="381" t="s">
        <v>558</v>
      </c>
      <c r="AB19" s="372" t="s">
        <v>559</v>
      </c>
      <c r="AC19" s="382" t="s">
        <v>584</v>
      </c>
    </row>
    <row r="20" spans="1:30" s="359" customFormat="1" x14ac:dyDescent="0.2">
      <c r="A20" s="371" t="s">
        <v>583</v>
      </c>
      <c r="B20" s="372" t="s">
        <v>60</v>
      </c>
      <c r="C20" s="371" t="s">
        <v>75</v>
      </c>
      <c r="D20" s="372" t="s">
        <v>187</v>
      </c>
      <c r="E20" s="373">
        <v>48.7</v>
      </c>
      <c r="F20" s="374">
        <v>-122.5</v>
      </c>
      <c r="G20" s="398">
        <v>54.531290347599999</v>
      </c>
      <c r="H20" s="390">
        <v>-109.102687343</v>
      </c>
      <c r="I20" s="391">
        <v>54.255035808700001</v>
      </c>
      <c r="J20" s="390">
        <v>-89.913254991200006</v>
      </c>
      <c r="K20" s="426">
        <f t="shared" si="0"/>
        <v>-0.27625453889999818</v>
      </c>
      <c r="L20" s="390">
        <v>2.2883333333333336</v>
      </c>
      <c r="M20" s="390"/>
      <c r="N20" s="375">
        <f t="shared" si="1"/>
        <v>15.308333333333334</v>
      </c>
      <c r="O20" s="391">
        <v>17.596666666666668</v>
      </c>
      <c r="P20" s="375">
        <f t="shared" si="2"/>
        <v>19.885000000000002</v>
      </c>
      <c r="Q20" s="375"/>
      <c r="R20" s="390">
        <v>2.2883333333333336</v>
      </c>
      <c r="S20" s="531" t="s">
        <v>560</v>
      </c>
      <c r="T20" s="544">
        <v>1</v>
      </c>
      <c r="U20" s="521">
        <v>6</v>
      </c>
      <c r="V20" s="521">
        <v>6</v>
      </c>
      <c r="W20" s="540"/>
      <c r="X20" s="383" t="s">
        <v>662</v>
      </c>
      <c r="Y20" s="379" t="s">
        <v>752</v>
      </c>
      <c r="Z20" s="380" t="s">
        <v>561</v>
      </c>
      <c r="AA20" s="381" t="s">
        <v>558</v>
      </c>
      <c r="AB20" s="372" t="s">
        <v>559</v>
      </c>
      <c r="AC20" s="382" t="s">
        <v>584</v>
      </c>
    </row>
    <row r="21" spans="1:30" s="359" customFormat="1" x14ac:dyDescent="0.2">
      <c r="A21" s="371" t="s">
        <v>583</v>
      </c>
      <c r="B21" s="372" t="s">
        <v>60</v>
      </c>
      <c r="C21" s="371" t="s">
        <v>75</v>
      </c>
      <c r="D21" s="372" t="s">
        <v>187</v>
      </c>
      <c r="E21" s="373">
        <v>48.7</v>
      </c>
      <c r="F21" s="374">
        <v>-122.5</v>
      </c>
      <c r="G21" s="398">
        <v>54.531290347599999</v>
      </c>
      <c r="H21" s="390">
        <v>-109.102687343</v>
      </c>
      <c r="I21" s="391">
        <v>54.255035808700001</v>
      </c>
      <c r="J21" s="390">
        <v>-89.913254991200006</v>
      </c>
      <c r="K21" s="426">
        <f t="shared" si="0"/>
        <v>-0.27625453889999818</v>
      </c>
      <c r="L21" s="390">
        <v>3.4066666666666667</v>
      </c>
      <c r="M21" s="390"/>
      <c r="N21" s="375">
        <f t="shared" si="1"/>
        <v>20.163333333333338</v>
      </c>
      <c r="O21" s="391">
        <v>23.570000000000004</v>
      </c>
      <c r="P21" s="375">
        <f t="shared" si="2"/>
        <v>26.97666666666667</v>
      </c>
      <c r="Q21" s="375"/>
      <c r="R21" s="390">
        <v>3.4066666666666667</v>
      </c>
      <c r="S21" s="531" t="s">
        <v>562</v>
      </c>
      <c r="T21" s="544">
        <v>1</v>
      </c>
      <c r="U21" s="521">
        <v>6</v>
      </c>
      <c r="V21" s="521">
        <v>6</v>
      </c>
      <c r="W21" s="540"/>
      <c r="X21" s="383" t="s">
        <v>662</v>
      </c>
      <c r="Y21" s="379" t="s">
        <v>752</v>
      </c>
      <c r="Z21" s="380" t="s">
        <v>563</v>
      </c>
      <c r="AA21" s="381" t="s">
        <v>558</v>
      </c>
      <c r="AB21" s="372" t="s">
        <v>559</v>
      </c>
      <c r="AC21" s="382" t="s">
        <v>584</v>
      </c>
    </row>
    <row r="22" spans="1:30" s="359" customFormat="1" x14ac:dyDescent="0.2">
      <c r="A22" s="371" t="s">
        <v>583</v>
      </c>
      <c r="B22" s="372" t="s">
        <v>60</v>
      </c>
      <c r="C22" s="371" t="s">
        <v>75</v>
      </c>
      <c r="D22" s="372" t="s">
        <v>187</v>
      </c>
      <c r="E22" s="373">
        <v>48.7</v>
      </c>
      <c r="F22" s="374">
        <v>-122.5</v>
      </c>
      <c r="G22" s="398">
        <v>54.531290347599999</v>
      </c>
      <c r="H22" s="390">
        <v>-109.102687343</v>
      </c>
      <c r="I22" s="391">
        <v>54.255035808700001</v>
      </c>
      <c r="J22" s="390">
        <v>-89.913254991200006</v>
      </c>
      <c r="K22" s="426">
        <f t="shared" si="0"/>
        <v>-0.27625453889999818</v>
      </c>
      <c r="L22" s="390">
        <v>2.0483333333333333</v>
      </c>
      <c r="M22" s="390"/>
      <c r="N22" s="375">
        <f t="shared" si="1"/>
        <v>14.538333333333336</v>
      </c>
      <c r="O22" s="391">
        <v>16.58666666666667</v>
      </c>
      <c r="P22" s="375">
        <f t="shared" si="2"/>
        <v>18.635000000000002</v>
      </c>
      <c r="Q22" s="375"/>
      <c r="R22" s="390">
        <v>2.0483333333333333</v>
      </c>
      <c r="S22" s="531" t="s">
        <v>564</v>
      </c>
      <c r="T22" s="544">
        <v>1</v>
      </c>
      <c r="U22" s="521">
        <v>6</v>
      </c>
      <c r="V22" s="521">
        <v>6</v>
      </c>
      <c r="W22" s="540"/>
      <c r="X22" s="383" t="s">
        <v>662</v>
      </c>
      <c r="Y22" s="379" t="s">
        <v>752</v>
      </c>
      <c r="Z22" s="380" t="s">
        <v>565</v>
      </c>
      <c r="AA22" s="381" t="s">
        <v>558</v>
      </c>
      <c r="AB22" s="372" t="s">
        <v>559</v>
      </c>
      <c r="AC22" s="382" t="s">
        <v>584</v>
      </c>
    </row>
    <row r="23" spans="1:30" s="359" customFormat="1" x14ac:dyDescent="0.2">
      <c r="A23" s="371" t="s">
        <v>119</v>
      </c>
      <c r="B23" s="392" t="s">
        <v>60</v>
      </c>
      <c r="C23" s="371" t="s">
        <v>529</v>
      </c>
      <c r="D23" s="372" t="s">
        <v>187</v>
      </c>
      <c r="E23" s="373">
        <v>48.6</v>
      </c>
      <c r="F23" s="374">
        <v>-118.7</v>
      </c>
      <c r="G23" s="398">
        <v>54.244814331199997</v>
      </c>
      <c r="H23" s="390">
        <v>-104.81576585400001</v>
      </c>
      <c r="I23" s="391">
        <v>53.251252196599999</v>
      </c>
      <c r="J23" s="390">
        <v>-86.017442137299994</v>
      </c>
      <c r="K23" s="426">
        <f t="shared" si="0"/>
        <v>-0.99356213459999765</v>
      </c>
      <c r="L23" s="375">
        <v>2</v>
      </c>
      <c r="M23" s="375"/>
      <c r="N23" s="375">
        <f t="shared" si="1"/>
        <v>7.4</v>
      </c>
      <c r="O23" s="376">
        <v>9.4</v>
      </c>
      <c r="P23" s="375">
        <f t="shared" si="2"/>
        <v>11.4</v>
      </c>
      <c r="Q23" s="375"/>
      <c r="R23" s="375">
        <v>2</v>
      </c>
      <c r="S23" s="531" t="s">
        <v>108</v>
      </c>
      <c r="T23" s="544">
        <v>1</v>
      </c>
      <c r="U23" s="521">
        <v>1</v>
      </c>
      <c r="V23" s="521">
        <v>1</v>
      </c>
      <c r="W23" s="540"/>
      <c r="X23" s="383" t="s">
        <v>662</v>
      </c>
      <c r="Y23" s="379" t="s">
        <v>752</v>
      </c>
      <c r="Z23" s="393" t="s">
        <v>146</v>
      </c>
      <c r="AA23" s="381" t="s">
        <v>6</v>
      </c>
      <c r="AB23" s="394" t="s">
        <v>7</v>
      </c>
      <c r="AC23" s="382"/>
      <c r="AD23" s="395"/>
    </row>
    <row r="24" spans="1:30" s="359" customFormat="1" x14ac:dyDescent="0.2">
      <c r="A24" s="371" t="s">
        <v>119</v>
      </c>
      <c r="B24" s="392" t="s">
        <v>60</v>
      </c>
      <c r="C24" s="371" t="s">
        <v>531</v>
      </c>
      <c r="D24" s="372" t="s">
        <v>187</v>
      </c>
      <c r="E24" s="373">
        <v>48.6</v>
      </c>
      <c r="F24" s="374">
        <v>-118.7</v>
      </c>
      <c r="G24" s="398">
        <v>54.244814331199997</v>
      </c>
      <c r="H24" s="390">
        <v>-104.81576585400001</v>
      </c>
      <c r="I24" s="391">
        <v>53.251252196599999</v>
      </c>
      <c r="J24" s="390">
        <v>-86.017442137299994</v>
      </c>
      <c r="K24" s="426">
        <f t="shared" si="0"/>
        <v>-0.99356213459999765</v>
      </c>
      <c r="L24" s="375">
        <v>4</v>
      </c>
      <c r="M24" s="375"/>
      <c r="N24" s="375">
        <f t="shared" si="1"/>
        <v>5</v>
      </c>
      <c r="O24" s="376">
        <v>9</v>
      </c>
      <c r="P24" s="375">
        <f t="shared" si="2"/>
        <v>13</v>
      </c>
      <c r="Q24" s="375"/>
      <c r="R24" s="375">
        <v>4</v>
      </c>
      <c r="S24" s="527" t="s">
        <v>148</v>
      </c>
      <c r="T24" s="544">
        <v>1</v>
      </c>
      <c r="U24" s="521">
        <v>1</v>
      </c>
      <c r="V24" s="521">
        <v>1</v>
      </c>
      <c r="W24" s="540"/>
      <c r="X24" s="378" t="s">
        <v>662</v>
      </c>
      <c r="Y24" s="379" t="s">
        <v>752</v>
      </c>
      <c r="Z24" s="380"/>
      <c r="AA24" s="381" t="s">
        <v>14</v>
      </c>
      <c r="AB24" s="372" t="s">
        <v>14</v>
      </c>
      <c r="AC24" s="382"/>
      <c r="AD24" s="396"/>
    </row>
    <row r="25" spans="1:30" s="359" customFormat="1" x14ac:dyDescent="0.2">
      <c r="A25" s="371" t="s">
        <v>119</v>
      </c>
      <c r="B25" s="392" t="s">
        <v>60</v>
      </c>
      <c r="C25" s="371" t="s">
        <v>531</v>
      </c>
      <c r="D25" s="372" t="s">
        <v>187</v>
      </c>
      <c r="E25" s="373">
        <v>48.6</v>
      </c>
      <c r="F25" s="374">
        <v>-118.7</v>
      </c>
      <c r="G25" s="398">
        <v>54.244814331199997</v>
      </c>
      <c r="H25" s="390">
        <v>-104.81576585400001</v>
      </c>
      <c r="I25" s="391">
        <v>53.251252196599999</v>
      </c>
      <c r="J25" s="390">
        <v>-86.017442137299994</v>
      </c>
      <c r="K25" s="426">
        <f t="shared" si="0"/>
        <v>-0.99356213459999765</v>
      </c>
      <c r="L25" s="375">
        <v>3.3</v>
      </c>
      <c r="M25" s="375"/>
      <c r="N25" s="375">
        <f t="shared" si="1"/>
        <v>5.6000000000000005</v>
      </c>
      <c r="O25" s="376">
        <v>8.9</v>
      </c>
      <c r="P25" s="375">
        <f t="shared" si="2"/>
        <v>12.2</v>
      </c>
      <c r="Q25" s="375"/>
      <c r="R25" s="375">
        <v>3.3</v>
      </c>
      <c r="S25" s="527" t="s">
        <v>148</v>
      </c>
      <c r="T25" s="544">
        <v>1</v>
      </c>
      <c r="U25" s="521">
        <v>1</v>
      </c>
      <c r="V25" s="521">
        <v>1</v>
      </c>
      <c r="W25" s="540"/>
      <c r="X25" s="378" t="s">
        <v>662</v>
      </c>
      <c r="Y25" s="379" t="s">
        <v>752</v>
      </c>
      <c r="Z25" s="380"/>
      <c r="AA25" s="381" t="s">
        <v>14</v>
      </c>
      <c r="AB25" s="372" t="s">
        <v>14</v>
      </c>
      <c r="AC25" s="382"/>
      <c r="AD25" s="396"/>
    </row>
    <row r="26" spans="1:30" s="359" customFormat="1" x14ac:dyDescent="0.2">
      <c r="A26" s="371" t="s">
        <v>119</v>
      </c>
      <c r="B26" s="392" t="s">
        <v>60</v>
      </c>
      <c r="C26" s="371" t="s">
        <v>530</v>
      </c>
      <c r="D26" s="372" t="s">
        <v>187</v>
      </c>
      <c r="E26" s="373">
        <v>48.6</v>
      </c>
      <c r="F26" s="374">
        <v>-118.7</v>
      </c>
      <c r="G26" s="398">
        <v>54.244814331199997</v>
      </c>
      <c r="H26" s="390">
        <v>-104.81576585400001</v>
      </c>
      <c r="I26" s="391">
        <v>53.251252196599999</v>
      </c>
      <c r="J26" s="390">
        <v>-86.017442137299994</v>
      </c>
      <c r="K26" s="426">
        <f t="shared" si="0"/>
        <v>-0.99356213459999765</v>
      </c>
      <c r="L26" s="375">
        <v>3.6</v>
      </c>
      <c r="M26" s="375"/>
      <c r="N26" s="375">
        <f t="shared" si="1"/>
        <v>7.7000000000000011</v>
      </c>
      <c r="O26" s="376">
        <v>11.3</v>
      </c>
      <c r="P26" s="375">
        <f t="shared" si="2"/>
        <v>14.9</v>
      </c>
      <c r="Q26" s="375"/>
      <c r="R26" s="375">
        <v>3.6</v>
      </c>
      <c r="S26" s="531" t="s">
        <v>113</v>
      </c>
      <c r="T26" s="544">
        <v>1</v>
      </c>
      <c r="U26" s="521">
        <v>1</v>
      </c>
      <c r="V26" s="521">
        <v>1</v>
      </c>
      <c r="W26" s="540"/>
      <c r="X26" s="383" t="s">
        <v>662</v>
      </c>
      <c r="Y26" s="379" t="s">
        <v>752</v>
      </c>
      <c r="Z26" s="384" t="s">
        <v>147</v>
      </c>
      <c r="AA26" s="381" t="s">
        <v>542</v>
      </c>
      <c r="AB26" s="372" t="s">
        <v>4</v>
      </c>
      <c r="AC26" s="382"/>
      <c r="AD26" s="395"/>
    </row>
    <row r="27" spans="1:30" s="359" customFormat="1" x14ac:dyDescent="0.2">
      <c r="A27" s="371" t="s">
        <v>119</v>
      </c>
      <c r="B27" s="392" t="s">
        <v>60</v>
      </c>
      <c r="C27" s="371" t="s">
        <v>531</v>
      </c>
      <c r="D27" s="372" t="s">
        <v>187</v>
      </c>
      <c r="E27" s="373">
        <v>48.6</v>
      </c>
      <c r="F27" s="374">
        <v>-118.7</v>
      </c>
      <c r="G27" s="398">
        <v>54.244814331199997</v>
      </c>
      <c r="H27" s="390">
        <v>-104.81576585400001</v>
      </c>
      <c r="I27" s="391">
        <v>53.251252196599999</v>
      </c>
      <c r="J27" s="390">
        <v>-86.017442137299994</v>
      </c>
      <c r="K27" s="426">
        <f t="shared" si="0"/>
        <v>-0.99356213459999765</v>
      </c>
      <c r="L27" s="375">
        <v>4.8</v>
      </c>
      <c r="M27" s="375"/>
      <c r="N27" s="375">
        <f t="shared" si="1"/>
        <v>4.3999999999999995</v>
      </c>
      <c r="O27" s="376">
        <v>9.1999999999999993</v>
      </c>
      <c r="P27" s="375">
        <f t="shared" si="2"/>
        <v>14</v>
      </c>
      <c r="Q27" s="375"/>
      <c r="R27" s="375">
        <v>4.8</v>
      </c>
      <c r="S27" s="527" t="s">
        <v>113</v>
      </c>
      <c r="T27" s="544">
        <v>1</v>
      </c>
      <c r="U27" s="521">
        <v>1</v>
      </c>
      <c r="V27" s="521">
        <v>1</v>
      </c>
      <c r="W27" s="540"/>
      <c r="X27" s="378" t="s">
        <v>662</v>
      </c>
      <c r="Y27" s="379" t="s">
        <v>752</v>
      </c>
      <c r="Z27" s="380" t="s">
        <v>156</v>
      </c>
      <c r="AA27" s="381" t="s">
        <v>14</v>
      </c>
      <c r="AB27" s="372" t="s">
        <v>14</v>
      </c>
      <c r="AC27" s="382"/>
      <c r="AD27" s="396"/>
    </row>
    <row r="28" spans="1:30" s="359" customFormat="1" x14ac:dyDescent="0.2">
      <c r="A28" s="369" t="s">
        <v>757</v>
      </c>
      <c r="B28" s="392" t="s">
        <v>60</v>
      </c>
      <c r="C28" s="371" t="s">
        <v>529</v>
      </c>
      <c r="D28" s="372" t="s">
        <v>187</v>
      </c>
      <c r="E28" s="373">
        <v>48.47</v>
      </c>
      <c r="F28" s="374">
        <v>-118.52</v>
      </c>
      <c r="G28" s="398">
        <v>54.105697800000002</v>
      </c>
      <c r="H28" s="390">
        <v>-104.630547523</v>
      </c>
      <c r="I28" s="391">
        <v>53.086750728600002</v>
      </c>
      <c r="J28" s="390">
        <v>-85.911341312399998</v>
      </c>
      <c r="K28" s="426">
        <f t="shared" si="0"/>
        <v>-1.0189470713999995</v>
      </c>
      <c r="L28" s="375">
        <v>2</v>
      </c>
      <c r="M28" s="375"/>
      <c r="N28" s="375">
        <f t="shared" si="1"/>
        <v>6.8000000000000007</v>
      </c>
      <c r="O28" s="376">
        <v>8.8000000000000007</v>
      </c>
      <c r="P28" s="375">
        <f t="shared" si="2"/>
        <v>10.8</v>
      </c>
      <c r="Q28" s="375"/>
      <c r="R28" s="375">
        <v>2</v>
      </c>
      <c r="S28" s="531" t="s">
        <v>108</v>
      </c>
      <c r="T28" s="544">
        <v>1</v>
      </c>
      <c r="U28" s="521">
        <v>1</v>
      </c>
      <c r="V28" s="521">
        <v>1</v>
      </c>
      <c r="W28" s="540"/>
      <c r="X28" s="383" t="s">
        <v>662</v>
      </c>
      <c r="Y28" s="379" t="s">
        <v>752</v>
      </c>
      <c r="Z28" s="393" t="s">
        <v>146</v>
      </c>
      <c r="AA28" s="381" t="s">
        <v>6</v>
      </c>
      <c r="AB28" s="394" t="s">
        <v>7</v>
      </c>
      <c r="AC28" s="382"/>
      <c r="AD28" s="396"/>
    </row>
    <row r="29" spans="1:30" s="359" customFormat="1" x14ac:dyDescent="0.2">
      <c r="A29" s="369" t="s">
        <v>758</v>
      </c>
      <c r="B29" s="392" t="s">
        <v>60</v>
      </c>
      <c r="C29" s="371" t="s">
        <v>529</v>
      </c>
      <c r="D29" s="372" t="s">
        <v>187</v>
      </c>
      <c r="E29" s="373">
        <v>48.47</v>
      </c>
      <c r="F29" s="374">
        <v>-118.52</v>
      </c>
      <c r="G29" s="398">
        <v>54.105697800000002</v>
      </c>
      <c r="H29" s="390">
        <v>-104.630547523</v>
      </c>
      <c r="I29" s="391">
        <v>53.086750728600002</v>
      </c>
      <c r="J29" s="390">
        <v>-85.911341312399998</v>
      </c>
      <c r="K29" s="426">
        <f t="shared" si="0"/>
        <v>-1.0189470713999995</v>
      </c>
      <c r="L29" s="375">
        <v>2</v>
      </c>
      <c r="M29" s="375"/>
      <c r="N29" s="375">
        <f t="shared" si="1"/>
        <v>9</v>
      </c>
      <c r="O29" s="376">
        <v>11</v>
      </c>
      <c r="P29" s="375">
        <f t="shared" si="2"/>
        <v>13</v>
      </c>
      <c r="Q29" s="375"/>
      <c r="R29" s="375">
        <v>2</v>
      </c>
      <c r="S29" s="531" t="s">
        <v>108</v>
      </c>
      <c r="T29" s="544">
        <v>1</v>
      </c>
      <c r="U29" s="521">
        <v>1</v>
      </c>
      <c r="V29" s="521">
        <v>1</v>
      </c>
      <c r="W29" s="540"/>
      <c r="X29" s="383" t="s">
        <v>662</v>
      </c>
      <c r="Y29" s="379" t="s">
        <v>752</v>
      </c>
      <c r="Z29" s="393" t="s">
        <v>146</v>
      </c>
      <c r="AA29" s="381" t="s">
        <v>6</v>
      </c>
      <c r="AB29" s="394" t="s">
        <v>7</v>
      </c>
      <c r="AC29" s="382"/>
      <c r="AD29" s="396"/>
    </row>
    <row r="30" spans="1:30" s="359" customFormat="1" x14ac:dyDescent="0.2">
      <c r="A30" s="369" t="s">
        <v>120</v>
      </c>
      <c r="B30" s="370" t="s">
        <v>60</v>
      </c>
      <c r="C30" s="371" t="s">
        <v>529</v>
      </c>
      <c r="D30" s="372" t="s">
        <v>187</v>
      </c>
      <c r="E30" s="373">
        <v>47.49</v>
      </c>
      <c r="F30" s="374">
        <v>-121.8</v>
      </c>
      <c r="G30" s="398">
        <v>53.2919629051</v>
      </c>
      <c r="H30" s="390">
        <v>-108.45233473899999</v>
      </c>
      <c r="I30" s="391">
        <v>52.957882978599997</v>
      </c>
      <c r="J30" s="390">
        <v>-89.902958679799994</v>
      </c>
      <c r="K30" s="426">
        <f t="shared" si="0"/>
        <v>-0.33407992650000295</v>
      </c>
      <c r="L30" s="375">
        <v>2</v>
      </c>
      <c r="M30" s="375"/>
      <c r="N30" s="375">
        <f t="shared" si="1"/>
        <v>14.2</v>
      </c>
      <c r="O30" s="376">
        <v>16.2</v>
      </c>
      <c r="P30" s="375">
        <f t="shared" si="2"/>
        <v>18.2</v>
      </c>
      <c r="Q30" s="375"/>
      <c r="R30" s="375">
        <v>2</v>
      </c>
      <c r="S30" s="531" t="s">
        <v>108</v>
      </c>
      <c r="T30" s="544">
        <v>1</v>
      </c>
      <c r="U30" s="521">
        <v>1</v>
      </c>
      <c r="V30" s="521">
        <v>1</v>
      </c>
      <c r="W30" s="540"/>
      <c r="X30" s="383" t="s">
        <v>662</v>
      </c>
      <c r="Y30" s="379" t="s">
        <v>752</v>
      </c>
      <c r="Z30" s="393" t="s">
        <v>146</v>
      </c>
      <c r="AA30" s="381" t="s">
        <v>6</v>
      </c>
      <c r="AB30" s="394" t="s">
        <v>7</v>
      </c>
      <c r="AC30" s="382"/>
    </row>
    <row r="31" spans="1:30" s="359" customFormat="1" x14ac:dyDescent="0.2">
      <c r="A31" s="369" t="s">
        <v>121</v>
      </c>
      <c r="B31" s="370" t="s">
        <v>60</v>
      </c>
      <c r="C31" s="371" t="s">
        <v>529</v>
      </c>
      <c r="D31" s="372" t="s">
        <v>187</v>
      </c>
      <c r="E31" s="373">
        <v>47.49</v>
      </c>
      <c r="F31" s="374">
        <v>-121.8</v>
      </c>
      <c r="G31" s="398">
        <v>53.2919629051</v>
      </c>
      <c r="H31" s="390">
        <v>-108.45233473899999</v>
      </c>
      <c r="I31" s="391">
        <v>52.957882978599997</v>
      </c>
      <c r="J31" s="390">
        <v>-89.902958679799994</v>
      </c>
      <c r="K31" s="426">
        <f t="shared" si="0"/>
        <v>-0.33407992650000295</v>
      </c>
      <c r="L31" s="375">
        <v>2</v>
      </c>
      <c r="M31" s="375"/>
      <c r="N31" s="375">
        <f t="shared" si="1"/>
        <v>14.8</v>
      </c>
      <c r="O31" s="376">
        <v>16.8</v>
      </c>
      <c r="P31" s="375">
        <f t="shared" si="2"/>
        <v>18.8</v>
      </c>
      <c r="Q31" s="375"/>
      <c r="R31" s="375">
        <v>2</v>
      </c>
      <c r="S31" s="531" t="s">
        <v>108</v>
      </c>
      <c r="T31" s="544">
        <v>1</v>
      </c>
      <c r="U31" s="521">
        <v>1</v>
      </c>
      <c r="V31" s="521">
        <v>1</v>
      </c>
      <c r="W31" s="540"/>
      <c r="X31" s="383" t="s">
        <v>662</v>
      </c>
      <c r="Y31" s="379" t="s">
        <v>752</v>
      </c>
      <c r="Z31" s="393" t="s">
        <v>146</v>
      </c>
      <c r="AA31" s="381" t="s">
        <v>6</v>
      </c>
      <c r="AB31" s="394" t="s">
        <v>7</v>
      </c>
      <c r="AC31" s="382"/>
    </row>
    <row r="32" spans="1:30" s="359" customFormat="1" x14ac:dyDescent="0.2">
      <c r="A32" s="369" t="s">
        <v>31</v>
      </c>
      <c r="B32" s="370" t="s">
        <v>65</v>
      </c>
      <c r="C32" s="371" t="s">
        <v>75</v>
      </c>
      <c r="D32" s="372" t="s">
        <v>187</v>
      </c>
      <c r="E32" s="373">
        <v>44.5</v>
      </c>
      <c r="F32" s="374">
        <v>-107</v>
      </c>
      <c r="G32" s="398">
        <v>49.426584451499998</v>
      </c>
      <c r="H32" s="390">
        <v>-92.4440523074</v>
      </c>
      <c r="I32" s="391">
        <v>46.564546254900002</v>
      </c>
      <c r="J32" s="390">
        <v>-76.588947236600006</v>
      </c>
      <c r="K32" s="426">
        <f t="shared" si="0"/>
        <v>-2.8620381965999968</v>
      </c>
      <c r="L32" s="375">
        <v>5.5</v>
      </c>
      <c r="M32" s="375"/>
      <c r="N32" s="375">
        <f t="shared" si="1"/>
        <v>13.2</v>
      </c>
      <c r="O32" s="376">
        <v>18.7</v>
      </c>
      <c r="P32" s="375">
        <f t="shared" si="2"/>
        <v>24.2</v>
      </c>
      <c r="Q32" s="375"/>
      <c r="R32" s="375">
        <v>5.5</v>
      </c>
      <c r="S32" s="527" t="s">
        <v>112</v>
      </c>
      <c r="T32" s="544">
        <v>1</v>
      </c>
      <c r="U32" s="521">
        <v>1</v>
      </c>
      <c r="V32" s="521">
        <v>1</v>
      </c>
      <c r="W32" s="540"/>
      <c r="X32" s="412" t="s">
        <v>888</v>
      </c>
      <c r="Y32" s="379" t="s">
        <v>752</v>
      </c>
      <c r="Z32" s="380"/>
      <c r="AA32" s="381" t="s">
        <v>28</v>
      </c>
      <c r="AB32" s="372" t="s">
        <v>28</v>
      </c>
      <c r="AC32" s="382" t="s">
        <v>27</v>
      </c>
    </row>
    <row r="33" spans="1:30" s="359" customFormat="1" x14ac:dyDescent="0.2">
      <c r="A33" s="369" t="s">
        <v>664</v>
      </c>
      <c r="B33" s="370" t="s">
        <v>54</v>
      </c>
      <c r="C33" s="369" t="s">
        <v>43</v>
      </c>
      <c r="D33" s="397" t="s">
        <v>188</v>
      </c>
      <c r="E33" s="398">
        <v>56.841666666666669</v>
      </c>
      <c r="F33" s="390">
        <v>8.9916666666666671</v>
      </c>
      <c r="G33" s="398">
        <v>55.7755160293</v>
      </c>
      <c r="H33" s="390">
        <v>7.7830514824300003</v>
      </c>
      <c r="I33" s="391">
        <v>46.360134802700003</v>
      </c>
      <c r="J33" s="390">
        <v>8.86768966102</v>
      </c>
      <c r="K33" s="426">
        <f t="shared" si="0"/>
        <v>-9.4153812265999974</v>
      </c>
      <c r="L33" s="375">
        <v>5.2230259428802386</v>
      </c>
      <c r="M33" s="472"/>
      <c r="N33" s="375">
        <f t="shared" si="1"/>
        <v>11.676974057119761</v>
      </c>
      <c r="O33" s="473">
        <v>16.899999999999999</v>
      </c>
      <c r="P33" s="375">
        <f t="shared" si="2"/>
        <v>22.123025942880236</v>
      </c>
      <c r="Q33" s="472"/>
      <c r="R33" s="375">
        <v>5.2230259428802386</v>
      </c>
      <c r="S33" s="527" t="s">
        <v>889</v>
      </c>
      <c r="T33" s="544">
        <v>1</v>
      </c>
      <c r="U33" s="521">
        <v>1</v>
      </c>
      <c r="V33" s="521">
        <v>0</v>
      </c>
      <c r="W33" s="540">
        <v>1</v>
      </c>
      <c r="X33" s="378" t="s">
        <v>677</v>
      </c>
      <c r="Y33" s="379" t="s">
        <v>184</v>
      </c>
      <c r="Z33" s="380"/>
      <c r="AA33" s="381" t="s">
        <v>42</v>
      </c>
      <c r="AB33" s="372" t="s">
        <v>33</v>
      </c>
      <c r="AC33" s="382" t="s">
        <v>551</v>
      </c>
    </row>
    <row r="34" spans="1:30" s="359" customFormat="1" x14ac:dyDescent="0.2">
      <c r="A34" s="369" t="s">
        <v>30</v>
      </c>
      <c r="B34" s="370" t="s">
        <v>65</v>
      </c>
      <c r="C34" s="369" t="s">
        <v>75</v>
      </c>
      <c r="D34" s="397" t="s">
        <v>187</v>
      </c>
      <c r="E34" s="430">
        <v>44.77</v>
      </c>
      <c r="F34" s="431">
        <v>-107.13</v>
      </c>
      <c r="G34" s="398">
        <v>48.935906619400001</v>
      </c>
      <c r="H34" s="390">
        <v>-93.235678575799994</v>
      </c>
      <c r="I34" s="391">
        <v>46.216635031599999</v>
      </c>
      <c r="J34" s="390">
        <v>-77.491440956100007</v>
      </c>
      <c r="K34" s="426">
        <f t="shared" si="0"/>
        <v>-2.7192715878000016</v>
      </c>
      <c r="L34" s="375">
        <v>5.6</v>
      </c>
      <c r="M34" s="375"/>
      <c r="N34" s="375">
        <f t="shared" si="1"/>
        <v>37.6</v>
      </c>
      <c r="O34" s="376">
        <v>43.2</v>
      </c>
      <c r="P34" s="375">
        <f t="shared" si="2"/>
        <v>48.800000000000004</v>
      </c>
      <c r="Q34" s="375"/>
      <c r="R34" s="375">
        <v>5.6</v>
      </c>
      <c r="S34" s="527" t="s">
        <v>645</v>
      </c>
      <c r="T34" s="544">
        <v>1</v>
      </c>
      <c r="U34" s="521">
        <v>2</v>
      </c>
      <c r="V34" s="521">
        <v>2</v>
      </c>
      <c r="W34" s="540"/>
      <c r="X34" s="412" t="s">
        <v>887</v>
      </c>
      <c r="Y34" s="379" t="s">
        <v>752</v>
      </c>
      <c r="Z34" s="380" t="s">
        <v>646</v>
      </c>
      <c r="AA34" s="381" t="s">
        <v>647</v>
      </c>
      <c r="AB34" s="372"/>
      <c r="AC34" s="382" t="s">
        <v>648</v>
      </c>
    </row>
    <row r="35" spans="1:30" s="359" customFormat="1" x14ac:dyDescent="0.2">
      <c r="A35" s="371" t="s">
        <v>759</v>
      </c>
      <c r="B35" s="372" t="s">
        <v>65</v>
      </c>
      <c r="C35" s="371" t="s">
        <v>75</v>
      </c>
      <c r="D35" s="372" t="s">
        <v>187</v>
      </c>
      <c r="E35" s="373">
        <v>43.96</v>
      </c>
      <c r="F35" s="374">
        <v>-107.65</v>
      </c>
      <c r="G35" s="398">
        <v>48.935906619400001</v>
      </c>
      <c r="H35" s="390">
        <v>-93.235678575799994</v>
      </c>
      <c r="I35" s="391">
        <v>46.216635031599999</v>
      </c>
      <c r="J35" s="390">
        <v>-77.491440956100007</v>
      </c>
      <c r="K35" s="426">
        <f t="shared" si="0"/>
        <v>-2.7192715878000016</v>
      </c>
      <c r="L35" s="375">
        <v>6.35</v>
      </c>
      <c r="M35" s="375"/>
      <c r="N35" s="375">
        <f t="shared" si="1"/>
        <v>15.38</v>
      </c>
      <c r="O35" s="376">
        <v>21.73</v>
      </c>
      <c r="P35" s="375">
        <f t="shared" si="2"/>
        <v>30.78</v>
      </c>
      <c r="Q35" s="375"/>
      <c r="R35" s="375">
        <v>9.0500000000000007</v>
      </c>
      <c r="S35" s="531" t="s">
        <v>113</v>
      </c>
      <c r="T35" s="544">
        <v>1</v>
      </c>
      <c r="U35" s="521">
        <v>1</v>
      </c>
      <c r="V35" s="521">
        <v>1</v>
      </c>
      <c r="W35" s="540"/>
      <c r="X35" s="383" t="s">
        <v>662</v>
      </c>
      <c r="Y35" s="379" t="s">
        <v>752</v>
      </c>
      <c r="Z35" s="384" t="s">
        <v>147</v>
      </c>
      <c r="AA35" s="381" t="s">
        <v>4</v>
      </c>
      <c r="AB35" s="372" t="s">
        <v>4</v>
      </c>
      <c r="AC35" s="382"/>
    </row>
    <row r="36" spans="1:30" s="359" customFormat="1" x14ac:dyDescent="0.2">
      <c r="A36" s="369" t="s">
        <v>30</v>
      </c>
      <c r="B36" s="370" t="s">
        <v>65</v>
      </c>
      <c r="C36" s="371" t="s">
        <v>75</v>
      </c>
      <c r="D36" s="372" t="s">
        <v>187</v>
      </c>
      <c r="E36" s="398">
        <v>43.96</v>
      </c>
      <c r="F36" s="390">
        <v>-107.65</v>
      </c>
      <c r="G36" s="398">
        <v>48.935906619400001</v>
      </c>
      <c r="H36" s="390">
        <v>-93.235678575799994</v>
      </c>
      <c r="I36" s="391">
        <v>46.216635031599999</v>
      </c>
      <c r="J36" s="390">
        <v>-77.491440956100007</v>
      </c>
      <c r="K36" s="426">
        <f t="shared" si="0"/>
        <v>-2.7192715878000016</v>
      </c>
      <c r="L36" s="375">
        <v>5.5</v>
      </c>
      <c r="M36" s="375"/>
      <c r="N36" s="375">
        <f t="shared" si="1"/>
        <v>12.8</v>
      </c>
      <c r="O36" s="376">
        <v>18.3</v>
      </c>
      <c r="P36" s="375">
        <f t="shared" si="2"/>
        <v>23.8</v>
      </c>
      <c r="Q36" s="375"/>
      <c r="R36" s="375">
        <v>5.5</v>
      </c>
      <c r="S36" s="527" t="s">
        <v>112</v>
      </c>
      <c r="T36" s="544">
        <v>1</v>
      </c>
      <c r="U36" s="521">
        <v>1</v>
      </c>
      <c r="V36" s="521">
        <v>1</v>
      </c>
      <c r="W36" s="540"/>
      <c r="X36" s="412" t="s">
        <v>888</v>
      </c>
      <c r="Y36" s="379" t="s">
        <v>752</v>
      </c>
      <c r="Z36" s="380"/>
      <c r="AA36" s="381" t="s">
        <v>28</v>
      </c>
      <c r="AB36" s="372" t="s">
        <v>28</v>
      </c>
      <c r="AC36" s="382" t="s">
        <v>27</v>
      </c>
    </row>
    <row r="37" spans="1:30" s="359" customFormat="1" ht="15" x14ac:dyDescent="0.2">
      <c r="A37" s="369" t="s">
        <v>20</v>
      </c>
      <c r="B37" s="392" t="s">
        <v>65</v>
      </c>
      <c r="C37" s="371" t="s">
        <v>532</v>
      </c>
      <c r="D37" s="372" t="s">
        <v>187</v>
      </c>
      <c r="E37" s="373">
        <v>43</v>
      </c>
      <c r="F37" s="374">
        <v>-108.5</v>
      </c>
      <c r="G37" s="398">
        <v>48.040221070100003</v>
      </c>
      <c r="H37" s="390">
        <v>-94.302326680899995</v>
      </c>
      <c r="I37" s="391">
        <v>45.521460692200002</v>
      </c>
      <c r="J37" s="390">
        <v>-78.790960405299998</v>
      </c>
      <c r="K37" s="426">
        <f t="shared" si="0"/>
        <v>-2.5187603779000014</v>
      </c>
      <c r="L37" s="375">
        <v>4</v>
      </c>
      <c r="M37" s="375"/>
      <c r="N37" s="375">
        <f t="shared" si="1"/>
        <v>4.9000000000000004</v>
      </c>
      <c r="O37" s="376">
        <v>8.9</v>
      </c>
      <c r="P37" s="375">
        <f t="shared" si="2"/>
        <v>12.9</v>
      </c>
      <c r="Q37" s="375"/>
      <c r="R37" s="375">
        <v>4</v>
      </c>
      <c r="S37" s="527" t="s">
        <v>872</v>
      </c>
      <c r="T37" s="544">
        <v>1</v>
      </c>
      <c r="U37" s="521">
        <v>25</v>
      </c>
      <c r="V37" s="603">
        <v>25</v>
      </c>
      <c r="W37" s="540"/>
      <c r="X37" s="412" t="s">
        <v>888</v>
      </c>
      <c r="Y37" s="379" t="s">
        <v>752</v>
      </c>
      <c r="Z37" s="387" t="s">
        <v>19</v>
      </c>
      <c r="AA37" s="381" t="s">
        <v>21</v>
      </c>
      <c r="AB37" s="372" t="s">
        <v>21</v>
      </c>
      <c r="AC37" s="444" t="s">
        <v>868</v>
      </c>
    </row>
    <row r="38" spans="1:30" s="395" customFormat="1" x14ac:dyDescent="0.2">
      <c r="A38" s="371" t="s">
        <v>81</v>
      </c>
      <c r="B38" s="370" t="s">
        <v>59</v>
      </c>
      <c r="C38" s="369" t="s">
        <v>541</v>
      </c>
      <c r="D38" s="397" t="s">
        <v>187</v>
      </c>
      <c r="E38" s="373">
        <v>39.65</v>
      </c>
      <c r="F38" s="374">
        <v>-121.56399999999999</v>
      </c>
      <c r="G38" s="398">
        <v>45.457071783700002</v>
      </c>
      <c r="H38" s="390">
        <v>-108.961761493</v>
      </c>
      <c r="I38" s="391">
        <v>45.491084054300003</v>
      </c>
      <c r="J38" s="390">
        <v>-93.585396183900002</v>
      </c>
      <c r="K38" s="426">
        <f t="shared" si="0"/>
        <v>3.4012270600001671E-2</v>
      </c>
      <c r="L38" s="399"/>
      <c r="M38" s="399"/>
      <c r="N38" s="375">
        <f t="shared" si="1"/>
        <v>22.6</v>
      </c>
      <c r="O38" s="376">
        <v>22.6</v>
      </c>
      <c r="P38" s="375">
        <f t="shared" si="2"/>
        <v>22.6</v>
      </c>
      <c r="Q38" s="375"/>
      <c r="R38" s="399"/>
      <c r="S38" s="528" t="s">
        <v>889</v>
      </c>
      <c r="T38" s="544">
        <v>1</v>
      </c>
      <c r="U38" s="521">
        <v>1</v>
      </c>
      <c r="V38" s="521">
        <v>1</v>
      </c>
      <c r="W38" s="540"/>
      <c r="X38" s="400" t="s">
        <v>677</v>
      </c>
      <c r="Y38" s="379" t="s">
        <v>752</v>
      </c>
      <c r="Z38" s="401"/>
      <c r="AA38" s="385" t="s">
        <v>79</v>
      </c>
      <c r="AB38" s="372"/>
      <c r="AC38" s="382"/>
      <c r="AD38" s="359"/>
    </row>
    <row r="39" spans="1:30" s="359" customFormat="1" x14ac:dyDescent="0.2">
      <c r="A39" s="371" t="s">
        <v>82</v>
      </c>
      <c r="B39" s="370" t="s">
        <v>59</v>
      </c>
      <c r="C39" s="369" t="s">
        <v>541</v>
      </c>
      <c r="D39" s="397" t="s">
        <v>187</v>
      </c>
      <c r="E39" s="373">
        <v>39.634999999999998</v>
      </c>
      <c r="F39" s="374">
        <v>-121.54300000000001</v>
      </c>
      <c r="G39" s="398">
        <v>45.4411385545</v>
      </c>
      <c r="H39" s="390">
        <v>-108.940020601</v>
      </c>
      <c r="I39" s="391">
        <v>45.471888818399997</v>
      </c>
      <c r="J39" s="390">
        <v>-93.569900582299994</v>
      </c>
      <c r="K39" s="426">
        <f t="shared" si="0"/>
        <v>3.0750263899996355E-2</v>
      </c>
      <c r="L39" s="399"/>
      <c r="M39" s="399"/>
      <c r="N39" s="375">
        <f t="shared" si="1"/>
        <v>17.100000000000001</v>
      </c>
      <c r="O39" s="376">
        <v>17.100000000000001</v>
      </c>
      <c r="P39" s="375">
        <f t="shared" si="2"/>
        <v>17.100000000000001</v>
      </c>
      <c r="Q39" s="375"/>
      <c r="R39" s="399"/>
      <c r="S39" s="528" t="s">
        <v>889</v>
      </c>
      <c r="T39" s="544">
        <v>1</v>
      </c>
      <c r="U39" s="521">
        <v>1</v>
      </c>
      <c r="V39" s="521">
        <v>1</v>
      </c>
      <c r="W39" s="540"/>
      <c r="X39" s="400" t="s">
        <v>677</v>
      </c>
      <c r="Y39" s="379" t="s">
        <v>752</v>
      </c>
      <c r="Z39" s="401"/>
      <c r="AA39" s="385" t="s">
        <v>79</v>
      </c>
      <c r="AB39" s="372"/>
      <c r="AC39" s="382"/>
    </row>
    <row r="40" spans="1:30" s="359" customFormat="1" x14ac:dyDescent="0.2">
      <c r="A40" s="371" t="s">
        <v>78</v>
      </c>
      <c r="B40" s="370" t="s">
        <v>59</v>
      </c>
      <c r="C40" s="369" t="s">
        <v>541</v>
      </c>
      <c r="D40" s="397" t="s">
        <v>187</v>
      </c>
      <c r="E40" s="373">
        <v>39.72</v>
      </c>
      <c r="F40" s="374">
        <v>-120.896</v>
      </c>
      <c r="G40" s="398">
        <v>45.4960008276</v>
      </c>
      <c r="H40" s="390">
        <v>-108.22395254</v>
      </c>
      <c r="I40" s="391">
        <v>45.401576139699998</v>
      </c>
      <c r="J40" s="390">
        <v>-92.856986114700007</v>
      </c>
      <c r="K40" s="426">
        <f t="shared" ref="K40:K58" si="3">I40-G40</f>
        <v>-9.4424687900001913E-2</v>
      </c>
      <c r="L40" s="399"/>
      <c r="M40" s="399"/>
      <c r="N40" s="375">
        <f t="shared" si="1"/>
        <v>14.9</v>
      </c>
      <c r="O40" s="402">
        <v>14.9</v>
      </c>
      <c r="P40" s="375">
        <f t="shared" si="2"/>
        <v>14.9</v>
      </c>
      <c r="Q40" s="375"/>
      <c r="R40" s="399"/>
      <c r="S40" s="528" t="s">
        <v>889</v>
      </c>
      <c r="T40" s="544">
        <v>1</v>
      </c>
      <c r="U40" s="521">
        <v>1</v>
      </c>
      <c r="V40" s="521">
        <v>1</v>
      </c>
      <c r="W40" s="540"/>
      <c r="X40" s="400" t="s">
        <v>677</v>
      </c>
      <c r="Y40" s="379" t="s">
        <v>752</v>
      </c>
      <c r="Z40" s="401"/>
      <c r="AA40" s="385" t="s">
        <v>79</v>
      </c>
      <c r="AB40" s="372"/>
      <c r="AC40" s="382"/>
    </row>
    <row r="41" spans="1:30" s="395" customFormat="1" x14ac:dyDescent="0.2">
      <c r="A41" s="371" t="s">
        <v>80</v>
      </c>
      <c r="B41" s="370" t="s">
        <v>59</v>
      </c>
      <c r="C41" s="388" t="s">
        <v>541</v>
      </c>
      <c r="D41" s="397" t="s">
        <v>187</v>
      </c>
      <c r="E41" s="374">
        <v>39.655000000000001</v>
      </c>
      <c r="F41" s="374">
        <v>-120.95099999999999</v>
      </c>
      <c r="G41" s="398">
        <v>45.433701682799999</v>
      </c>
      <c r="H41" s="390">
        <v>-108.289837413</v>
      </c>
      <c r="I41" s="391">
        <v>45.352544187500001</v>
      </c>
      <c r="J41" s="390">
        <v>-92.942548021600004</v>
      </c>
      <c r="K41" s="426">
        <f t="shared" si="3"/>
        <v>-8.1157495299997606E-2</v>
      </c>
      <c r="L41" s="399"/>
      <c r="M41" s="399"/>
      <c r="N41" s="375">
        <f t="shared" si="1"/>
        <v>7.8</v>
      </c>
      <c r="O41" s="376">
        <v>7.8</v>
      </c>
      <c r="P41" s="375">
        <f t="shared" si="2"/>
        <v>7.8</v>
      </c>
      <c r="Q41" s="375"/>
      <c r="R41" s="399"/>
      <c r="S41" s="528" t="s">
        <v>889</v>
      </c>
      <c r="T41" s="544">
        <v>1</v>
      </c>
      <c r="U41" s="521">
        <v>1</v>
      </c>
      <c r="V41" s="521">
        <v>1</v>
      </c>
      <c r="W41" s="540"/>
      <c r="X41" s="400" t="s">
        <v>677</v>
      </c>
      <c r="Y41" s="379" t="s">
        <v>752</v>
      </c>
      <c r="Z41" s="401"/>
      <c r="AA41" s="385" t="s">
        <v>79</v>
      </c>
      <c r="AB41" s="404"/>
      <c r="AC41" s="382"/>
      <c r="AD41" s="359"/>
    </row>
    <row r="42" spans="1:30" s="359" customFormat="1" x14ac:dyDescent="0.2">
      <c r="A42" s="371" t="s">
        <v>83</v>
      </c>
      <c r="B42" s="370" t="s">
        <v>59</v>
      </c>
      <c r="C42" s="369" t="s">
        <v>541</v>
      </c>
      <c r="D42" s="397" t="s">
        <v>187</v>
      </c>
      <c r="E42" s="373">
        <v>39.593000000000004</v>
      </c>
      <c r="F42" s="374">
        <v>-120.994</v>
      </c>
      <c r="G42" s="398">
        <v>45.373828911899999</v>
      </c>
      <c r="H42" s="390">
        <v>-108.342289525</v>
      </c>
      <c r="I42" s="391">
        <v>45.303546482800002</v>
      </c>
      <c r="J42" s="390">
        <v>-93.014236549499998</v>
      </c>
      <c r="K42" s="426">
        <f t="shared" si="3"/>
        <v>-7.0282429099997046E-2</v>
      </c>
      <c r="L42" s="399"/>
      <c r="M42" s="399"/>
      <c r="N42" s="375">
        <f t="shared" si="1"/>
        <v>14.8</v>
      </c>
      <c r="O42" s="376">
        <v>14.8</v>
      </c>
      <c r="P42" s="375">
        <f t="shared" si="2"/>
        <v>14.8</v>
      </c>
      <c r="Q42" s="375"/>
      <c r="R42" s="399"/>
      <c r="S42" s="528" t="s">
        <v>889</v>
      </c>
      <c r="T42" s="544">
        <v>1</v>
      </c>
      <c r="U42" s="521">
        <v>1</v>
      </c>
      <c r="V42" s="521">
        <v>1</v>
      </c>
      <c r="W42" s="540"/>
      <c r="X42" s="400" t="s">
        <v>677</v>
      </c>
      <c r="Y42" s="379" t="s">
        <v>752</v>
      </c>
      <c r="Z42" s="401"/>
      <c r="AA42" s="385" t="s">
        <v>79</v>
      </c>
      <c r="AB42" s="372"/>
      <c r="AC42" s="382"/>
    </row>
    <row r="43" spans="1:30" s="359" customFormat="1" x14ac:dyDescent="0.2">
      <c r="A43" s="371" t="s">
        <v>84</v>
      </c>
      <c r="B43" s="370" t="s">
        <v>59</v>
      </c>
      <c r="C43" s="369" t="s">
        <v>541</v>
      </c>
      <c r="D43" s="397" t="s">
        <v>187</v>
      </c>
      <c r="E43" s="373">
        <v>39.414999999999999</v>
      </c>
      <c r="F43" s="374">
        <v>-120.863</v>
      </c>
      <c r="G43" s="398">
        <v>45.190017474199998</v>
      </c>
      <c r="H43" s="390">
        <v>-108.21426952500001</v>
      </c>
      <c r="I43" s="391">
        <v>45.103267787500002</v>
      </c>
      <c r="J43" s="390">
        <v>-92.954206917400001</v>
      </c>
      <c r="K43" s="426">
        <f t="shared" si="3"/>
        <v>-8.6749686699995721E-2</v>
      </c>
      <c r="L43" s="399"/>
      <c r="M43" s="399"/>
      <c r="N43" s="375">
        <f t="shared" si="1"/>
        <v>13.5</v>
      </c>
      <c r="O43" s="376">
        <v>13.5</v>
      </c>
      <c r="P43" s="375">
        <f t="shared" si="2"/>
        <v>13.5</v>
      </c>
      <c r="Q43" s="375"/>
      <c r="R43" s="399"/>
      <c r="S43" s="528" t="s">
        <v>889</v>
      </c>
      <c r="T43" s="544">
        <v>1</v>
      </c>
      <c r="U43" s="521">
        <v>1</v>
      </c>
      <c r="V43" s="521">
        <v>1</v>
      </c>
      <c r="W43" s="540"/>
      <c r="X43" s="400" t="s">
        <v>677</v>
      </c>
      <c r="Y43" s="379" t="s">
        <v>752</v>
      </c>
      <c r="Z43" s="401"/>
      <c r="AA43" s="385" t="s">
        <v>79</v>
      </c>
      <c r="AB43" s="372"/>
      <c r="AC43" s="382"/>
    </row>
    <row r="44" spans="1:30" s="359" customFormat="1" x14ac:dyDescent="0.2">
      <c r="A44" s="371" t="s">
        <v>85</v>
      </c>
      <c r="B44" s="370" t="s">
        <v>59</v>
      </c>
      <c r="C44" s="369" t="s">
        <v>541</v>
      </c>
      <c r="D44" s="397" t="s">
        <v>187</v>
      </c>
      <c r="E44" s="373">
        <v>39.372</v>
      </c>
      <c r="F44" s="374">
        <v>-120.92400000000001</v>
      </c>
      <c r="G44" s="398">
        <v>45.149959024300003</v>
      </c>
      <c r="H44" s="390">
        <v>-108.28471569200001</v>
      </c>
      <c r="I44" s="391">
        <v>45.076570044699999</v>
      </c>
      <c r="J44" s="390">
        <v>-93.036293365999995</v>
      </c>
      <c r="K44" s="426">
        <f t="shared" si="3"/>
        <v>-7.3388979600004234E-2</v>
      </c>
      <c r="L44" s="399"/>
      <c r="M44" s="399"/>
      <c r="N44" s="375">
        <f t="shared" si="1"/>
        <v>17.3</v>
      </c>
      <c r="O44" s="376">
        <v>17.3</v>
      </c>
      <c r="P44" s="375">
        <f t="shared" si="2"/>
        <v>17.3</v>
      </c>
      <c r="Q44" s="375"/>
      <c r="R44" s="399"/>
      <c r="S44" s="528" t="s">
        <v>889</v>
      </c>
      <c r="T44" s="544">
        <v>1</v>
      </c>
      <c r="U44" s="521">
        <v>1</v>
      </c>
      <c r="V44" s="521">
        <v>1</v>
      </c>
      <c r="W44" s="540"/>
      <c r="X44" s="400" t="s">
        <v>677</v>
      </c>
      <c r="Y44" s="379" t="s">
        <v>752</v>
      </c>
      <c r="Z44" s="401"/>
      <c r="AA44" s="385" t="s">
        <v>79</v>
      </c>
      <c r="AB44" s="372"/>
      <c r="AC44" s="382"/>
    </row>
    <row r="45" spans="1:30" s="359" customFormat="1" x14ac:dyDescent="0.2">
      <c r="A45" s="371" t="s">
        <v>86</v>
      </c>
      <c r="B45" s="370" t="s">
        <v>59</v>
      </c>
      <c r="C45" s="369" t="s">
        <v>541</v>
      </c>
      <c r="D45" s="397" t="s">
        <v>187</v>
      </c>
      <c r="E45" s="373">
        <v>39.271000000000001</v>
      </c>
      <c r="F45" s="374">
        <v>-120.913</v>
      </c>
      <c r="G45" s="398">
        <v>45.048629018100002</v>
      </c>
      <c r="H45" s="390">
        <v>-108.281350225</v>
      </c>
      <c r="I45" s="391">
        <v>44.977728868100002</v>
      </c>
      <c r="J45" s="390">
        <v>-93.068052268399995</v>
      </c>
      <c r="K45" s="426">
        <f t="shared" si="3"/>
        <v>-7.090014999999994E-2</v>
      </c>
      <c r="L45" s="399"/>
      <c r="M45" s="399"/>
      <c r="N45" s="375">
        <f t="shared" si="1"/>
        <v>15.1</v>
      </c>
      <c r="O45" s="376">
        <v>15.1</v>
      </c>
      <c r="P45" s="375">
        <f t="shared" si="2"/>
        <v>15.1</v>
      </c>
      <c r="Q45" s="375"/>
      <c r="R45" s="399"/>
      <c r="S45" s="528" t="s">
        <v>889</v>
      </c>
      <c r="T45" s="544">
        <v>1</v>
      </c>
      <c r="U45" s="521">
        <v>1</v>
      </c>
      <c r="V45" s="521">
        <v>1</v>
      </c>
      <c r="W45" s="540"/>
      <c r="X45" s="400" t="s">
        <v>677</v>
      </c>
      <c r="Y45" s="379" t="s">
        <v>752</v>
      </c>
      <c r="Z45" s="401"/>
      <c r="AA45" s="385" t="s">
        <v>79</v>
      </c>
      <c r="AB45" s="372"/>
      <c r="AC45" s="382"/>
    </row>
    <row r="46" spans="1:30" s="359" customFormat="1" x14ac:dyDescent="0.2">
      <c r="A46" s="371" t="s">
        <v>87</v>
      </c>
      <c r="B46" s="370" t="s">
        <v>59</v>
      </c>
      <c r="C46" s="369" t="s">
        <v>541</v>
      </c>
      <c r="D46" s="397" t="s">
        <v>187</v>
      </c>
      <c r="E46" s="373">
        <v>39.213000000000001</v>
      </c>
      <c r="F46" s="374">
        <v>-120.884</v>
      </c>
      <c r="G46" s="398">
        <v>44.989375619400001</v>
      </c>
      <c r="H46" s="390">
        <v>-108.25460246599999</v>
      </c>
      <c r="I46" s="391">
        <v>44.915653368699999</v>
      </c>
      <c r="J46" s="390">
        <v>-93.062565280599998</v>
      </c>
      <c r="K46" s="426">
        <f t="shared" si="3"/>
        <v>-7.3722250700001268E-2</v>
      </c>
      <c r="L46" s="399"/>
      <c r="M46" s="399"/>
      <c r="N46" s="375">
        <f t="shared" si="1"/>
        <v>15.1</v>
      </c>
      <c r="O46" s="376">
        <v>15.1</v>
      </c>
      <c r="P46" s="375">
        <f t="shared" si="2"/>
        <v>15.1</v>
      </c>
      <c r="Q46" s="375"/>
      <c r="R46" s="399"/>
      <c r="S46" s="528" t="s">
        <v>889</v>
      </c>
      <c r="T46" s="544">
        <v>1</v>
      </c>
      <c r="U46" s="521">
        <v>1</v>
      </c>
      <c r="V46" s="521">
        <v>1</v>
      </c>
      <c r="W46" s="540"/>
      <c r="X46" s="400" t="s">
        <v>677</v>
      </c>
      <c r="Y46" s="379" t="s">
        <v>752</v>
      </c>
      <c r="Z46" s="401"/>
      <c r="AA46" s="385" t="s">
        <v>79</v>
      </c>
      <c r="AB46" s="372"/>
      <c r="AC46" s="382"/>
    </row>
    <row r="47" spans="1:30" s="395" customFormat="1" x14ac:dyDescent="0.2">
      <c r="A47" s="369" t="s">
        <v>22</v>
      </c>
      <c r="B47" s="392" t="s">
        <v>65</v>
      </c>
      <c r="C47" s="403" t="s">
        <v>533</v>
      </c>
      <c r="D47" s="372" t="s">
        <v>187</v>
      </c>
      <c r="E47" s="374">
        <v>42.24</v>
      </c>
      <c r="F47" s="374">
        <v>-108.53</v>
      </c>
      <c r="G47" s="398">
        <v>47.343351536500002</v>
      </c>
      <c r="H47" s="390">
        <v>-94.400570061400003</v>
      </c>
      <c r="I47" s="391">
        <v>44.861428871400001</v>
      </c>
      <c r="J47" s="390">
        <v>-79.121796363599998</v>
      </c>
      <c r="K47" s="426">
        <f t="shared" si="3"/>
        <v>-2.4819226651000008</v>
      </c>
      <c r="L47" s="375">
        <v>3.3</v>
      </c>
      <c r="M47" s="375"/>
      <c r="N47" s="375">
        <f t="shared" si="1"/>
        <v>23.8</v>
      </c>
      <c r="O47" s="376">
        <v>27.1</v>
      </c>
      <c r="P47" s="375">
        <f t="shared" si="2"/>
        <v>30.400000000000002</v>
      </c>
      <c r="Q47" s="375"/>
      <c r="R47" s="375">
        <v>3.3</v>
      </c>
      <c r="S47" s="527" t="s">
        <v>645</v>
      </c>
      <c r="T47" s="544">
        <v>1</v>
      </c>
      <c r="U47" s="521">
        <v>8</v>
      </c>
      <c r="V47" s="521">
        <v>8</v>
      </c>
      <c r="W47" s="540"/>
      <c r="X47" s="412" t="s">
        <v>887</v>
      </c>
      <c r="Y47" s="379" t="s">
        <v>752</v>
      </c>
      <c r="Z47" s="380" t="s">
        <v>652</v>
      </c>
      <c r="AA47" s="381" t="s">
        <v>750</v>
      </c>
      <c r="AB47" s="404"/>
      <c r="AC47" s="382"/>
      <c r="AD47" s="359"/>
    </row>
    <row r="48" spans="1:30" s="395" customFormat="1" x14ac:dyDescent="0.2">
      <c r="A48" s="369" t="s">
        <v>22</v>
      </c>
      <c r="B48" s="392" t="s">
        <v>65</v>
      </c>
      <c r="C48" s="403" t="s">
        <v>75</v>
      </c>
      <c r="D48" s="372" t="s">
        <v>187</v>
      </c>
      <c r="E48" s="374">
        <v>42.3</v>
      </c>
      <c r="F48" s="374">
        <v>-108.5</v>
      </c>
      <c r="G48" s="398">
        <v>47.343351536500002</v>
      </c>
      <c r="H48" s="390">
        <v>-94.400570061400003</v>
      </c>
      <c r="I48" s="391">
        <v>44.861428871400001</v>
      </c>
      <c r="J48" s="390">
        <v>-79.121796363599998</v>
      </c>
      <c r="K48" s="426">
        <f t="shared" si="3"/>
        <v>-2.4819226651000008</v>
      </c>
      <c r="L48" s="375">
        <v>5.5</v>
      </c>
      <c r="M48" s="375"/>
      <c r="N48" s="375">
        <f t="shared" si="1"/>
        <v>10</v>
      </c>
      <c r="O48" s="376">
        <v>15.5</v>
      </c>
      <c r="P48" s="375">
        <f t="shared" si="2"/>
        <v>21</v>
      </c>
      <c r="Q48" s="375"/>
      <c r="R48" s="375">
        <v>5.5</v>
      </c>
      <c r="S48" s="527" t="s">
        <v>112</v>
      </c>
      <c r="T48" s="544">
        <v>1</v>
      </c>
      <c r="U48" s="521">
        <v>1</v>
      </c>
      <c r="V48" s="521">
        <v>1</v>
      </c>
      <c r="W48" s="540"/>
      <c r="X48" s="412" t="s">
        <v>888</v>
      </c>
      <c r="Y48" s="379" t="s">
        <v>752</v>
      </c>
      <c r="Z48" s="380"/>
      <c r="AA48" s="381" t="s">
        <v>28</v>
      </c>
      <c r="AB48" s="404" t="s">
        <v>28</v>
      </c>
      <c r="AC48" s="382" t="s">
        <v>27</v>
      </c>
      <c r="AD48" s="359"/>
    </row>
    <row r="49" spans="1:30" s="359" customFormat="1" x14ac:dyDescent="0.2">
      <c r="A49" s="369" t="s">
        <v>22</v>
      </c>
      <c r="B49" s="392" t="s">
        <v>65</v>
      </c>
      <c r="C49" s="371" t="s">
        <v>533</v>
      </c>
      <c r="D49" s="372" t="s">
        <v>187</v>
      </c>
      <c r="E49" s="373">
        <v>42.3</v>
      </c>
      <c r="F49" s="374">
        <v>-108.5</v>
      </c>
      <c r="G49" s="398">
        <v>47.343351536500002</v>
      </c>
      <c r="H49" s="390">
        <v>-94.400570061400003</v>
      </c>
      <c r="I49" s="391">
        <v>44.861428871400001</v>
      </c>
      <c r="J49" s="390">
        <v>-79.121796363599998</v>
      </c>
      <c r="K49" s="426">
        <f t="shared" si="3"/>
        <v>-2.4819226651000008</v>
      </c>
      <c r="L49" s="375">
        <v>3.1</v>
      </c>
      <c r="M49" s="375">
        <v>8</v>
      </c>
      <c r="N49" s="375">
        <f t="shared" si="1"/>
        <v>8.9</v>
      </c>
      <c r="O49" s="376">
        <v>12</v>
      </c>
      <c r="P49" s="375">
        <f t="shared" si="2"/>
        <v>15.1</v>
      </c>
      <c r="Q49" s="375">
        <v>16</v>
      </c>
      <c r="R49" s="375">
        <v>3.1</v>
      </c>
      <c r="S49" s="527" t="s">
        <v>751</v>
      </c>
      <c r="T49" s="544">
        <v>1</v>
      </c>
      <c r="U49" s="521">
        <v>7</v>
      </c>
      <c r="V49" s="521">
        <v>7</v>
      </c>
      <c r="W49" s="540"/>
      <c r="X49" s="412" t="s">
        <v>888</v>
      </c>
      <c r="Y49" s="379" t="s">
        <v>752</v>
      </c>
      <c r="Z49" s="380"/>
      <c r="AA49" s="381" t="s">
        <v>24</v>
      </c>
      <c r="AB49" s="372" t="s">
        <v>24</v>
      </c>
      <c r="AC49" s="382" t="s">
        <v>23</v>
      </c>
    </row>
    <row r="50" spans="1:30" s="395" customFormat="1" x14ac:dyDescent="0.2">
      <c r="A50" s="371" t="s">
        <v>88</v>
      </c>
      <c r="B50" s="370" t="s">
        <v>59</v>
      </c>
      <c r="C50" s="388" t="s">
        <v>541</v>
      </c>
      <c r="D50" s="397" t="s">
        <v>187</v>
      </c>
      <c r="E50" s="374">
        <v>39.161999999999999</v>
      </c>
      <c r="F50" s="374">
        <v>-120.85599999999999</v>
      </c>
      <c r="G50" s="398">
        <v>44.937155017499997</v>
      </c>
      <c r="H50" s="390">
        <v>-108.228351485</v>
      </c>
      <c r="I50" s="391">
        <v>44.860480808699997</v>
      </c>
      <c r="J50" s="390">
        <v>-93.055099393800006</v>
      </c>
      <c r="K50" s="426">
        <f t="shared" si="3"/>
        <v>-7.6674208800000088E-2</v>
      </c>
      <c r="L50" s="399"/>
      <c r="M50" s="399"/>
      <c r="N50" s="375">
        <f t="shared" si="1"/>
        <v>11.1</v>
      </c>
      <c r="O50" s="376">
        <v>11.1</v>
      </c>
      <c r="P50" s="375">
        <f t="shared" si="2"/>
        <v>11.1</v>
      </c>
      <c r="Q50" s="375"/>
      <c r="R50" s="399"/>
      <c r="S50" s="528" t="s">
        <v>889</v>
      </c>
      <c r="T50" s="544">
        <v>1</v>
      </c>
      <c r="U50" s="521">
        <v>1</v>
      </c>
      <c r="V50" s="521">
        <v>1</v>
      </c>
      <c r="W50" s="540"/>
      <c r="X50" s="400" t="s">
        <v>677</v>
      </c>
      <c r="Y50" s="379" t="s">
        <v>752</v>
      </c>
      <c r="Z50" s="401"/>
      <c r="AA50" s="385" t="s">
        <v>79</v>
      </c>
      <c r="AB50" s="404"/>
      <c r="AC50" s="382"/>
      <c r="AD50" s="359"/>
    </row>
    <row r="51" spans="1:30" s="359" customFormat="1" x14ac:dyDescent="0.2">
      <c r="A51" s="371" t="s">
        <v>89</v>
      </c>
      <c r="B51" s="370" t="s">
        <v>59</v>
      </c>
      <c r="C51" s="369" t="s">
        <v>541</v>
      </c>
      <c r="D51" s="397" t="s">
        <v>187</v>
      </c>
      <c r="E51" s="373">
        <v>39.113</v>
      </c>
      <c r="F51" s="374">
        <v>-120.85299999999999</v>
      </c>
      <c r="G51" s="398">
        <v>44.888104024800001</v>
      </c>
      <c r="H51" s="390">
        <v>-108.229260677</v>
      </c>
      <c r="I51" s="391">
        <v>44.813062484100001</v>
      </c>
      <c r="J51" s="390">
        <v>-93.072820698800001</v>
      </c>
      <c r="K51" s="426">
        <f t="shared" si="3"/>
        <v>-7.5041540699999132E-2</v>
      </c>
      <c r="L51" s="399"/>
      <c r="M51" s="399"/>
      <c r="N51" s="375">
        <f t="shared" si="1"/>
        <v>19.100000000000001</v>
      </c>
      <c r="O51" s="376">
        <v>19.100000000000001</v>
      </c>
      <c r="P51" s="375">
        <f t="shared" si="2"/>
        <v>19.100000000000001</v>
      </c>
      <c r="Q51" s="375"/>
      <c r="R51" s="399"/>
      <c r="S51" s="528" t="s">
        <v>889</v>
      </c>
      <c r="T51" s="544">
        <v>1</v>
      </c>
      <c r="U51" s="521">
        <v>1</v>
      </c>
      <c r="V51" s="521">
        <v>1</v>
      </c>
      <c r="W51" s="540"/>
      <c r="X51" s="400" t="s">
        <v>677</v>
      </c>
      <c r="Y51" s="379" t="s">
        <v>752</v>
      </c>
      <c r="Z51" s="401"/>
      <c r="AA51" s="385" t="s">
        <v>79</v>
      </c>
      <c r="AB51" s="372"/>
      <c r="AC51" s="382"/>
    </row>
    <row r="52" spans="1:30" s="359" customFormat="1" x14ac:dyDescent="0.2">
      <c r="A52" s="371" t="s">
        <v>90</v>
      </c>
      <c r="B52" s="370" t="s">
        <v>59</v>
      </c>
      <c r="C52" s="369" t="s">
        <v>541</v>
      </c>
      <c r="D52" s="397" t="s">
        <v>187</v>
      </c>
      <c r="E52" s="373">
        <v>39.103000000000002</v>
      </c>
      <c r="F52" s="374">
        <v>-120.85299999999999</v>
      </c>
      <c r="G52" s="398">
        <v>44.878122351099996</v>
      </c>
      <c r="H52" s="390">
        <v>-108.23011472899999</v>
      </c>
      <c r="I52" s="391">
        <v>44.803528104100003</v>
      </c>
      <c r="J52" s="390">
        <v>-93.077071613100003</v>
      </c>
      <c r="K52" s="426">
        <f t="shared" si="3"/>
        <v>-7.4594246999993175E-2</v>
      </c>
      <c r="L52" s="399"/>
      <c r="M52" s="399"/>
      <c r="N52" s="375">
        <f t="shared" si="1"/>
        <v>12.5</v>
      </c>
      <c r="O52" s="376">
        <v>12.5</v>
      </c>
      <c r="P52" s="375">
        <f t="shared" si="2"/>
        <v>12.5</v>
      </c>
      <c r="Q52" s="375"/>
      <c r="R52" s="399"/>
      <c r="S52" s="528" t="s">
        <v>889</v>
      </c>
      <c r="T52" s="544">
        <v>1</v>
      </c>
      <c r="U52" s="521">
        <v>1</v>
      </c>
      <c r="V52" s="521">
        <v>1</v>
      </c>
      <c r="W52" s="540"/>
      <c r="X52" s="400" t="s">
        <v>677</v>
      </c>
      <c r="Y52" s="379" t="s">
        <v>752</v>
      </c>
      <c r="Z52" s="401"/>
      <c r="AA52" s="385" t="s">
        <v>79</v>
      </c>
      <c r="AB52" s="372"/>
      <c r="AC52" s="382"/>
    </row>
    <row r="53" spans="1:30" s="359" customFormat="1" x14ac:dyDescent="0.2">
      <c r="A53" s="371" t="s">
        <v>126</v>
      </c>
      <c r="B53" s="370" t="s">
        <v>59</v>
      </c>
      <c r="C53" s="369" t="s">
        <v>541</v>
      </c>
      <c r="D53" s="397" t="s">
        <v>187</v>
      </c>
      <c r="E53" s="373">
        <v>39.1</v>
      </c>
      <c r="F53" s="374">
        <v>-120.83</v>
      </c>
      <c r="G53" s="398">
        <v>44.874204032800002</v>
      </c>
      <c r="H53" s="390">
        <v>-108.208873325</v>
      </c>
      <c r="I53" s="391">
        <v>44.796065173599999</v>
      </c>
      <c r="J53" s="390">
        <v>-93.0578393861</v>
      </c>
      <c r="K53" s="426">
        <f t="shared" si="3"/>
        <v>-7.8138859200002742E-2</v>
      </c>
      <c r="L53" s="399"/>
      <c r="M53" s="399"/>
      <c r="N53" s="375">
        <f t="shared" si="1"/>
        <v>20.100000000000001</v>
      </c>
      <c r="O53" s="376">
        <v>20.100000000000001</v>
      </c>
      <c r="P53" s="375">
        <f t="shared" si="2"/>
        <v>20.100000000000001</v>
      </c>
      <c r="Q53" s="375"/>
      <c r="R53" s="399"/>
      <c r="S53" s="528" t="s">
        <v>889</v>
      </c>
      <c r="T53" s="544">
        <v>1</v>
      </c>
      <c r="U53" s="521">
        <v>1</v>
      </c>
      <c r="V53" s="521">
        <v>1</v>
      </c>
      <c r="W53" s="540"/>
      <c r="X53" s="400" t="s">
        <v>677</v>
      </c>
      <c r="Y53" s="379" t="s">
        <v>752</v>
      </c>
      <c r="Z53" s="401"/>
      <c r="AA53" s="385" t="s">
        <v>79</v>
      </c>
      <c r="AB53" s="372"/>
      <c r="AC53" s="382"/>
    </row>
    <row r="54" spans="1:30" s="359" customFormat="1" x14ac:dyDescent="0.2">
      <c r="A54" s="371" t="s">
        <v>91</v>
      </c>
      <c r="B54" s="370" t="s">
        <v>59</v>
      </c>
      <c r="C54" s="369" t="s">
        <v>541</v>
      </c>
      <c r="D54" s="397" t="s">
        <v>187</v>
      </c>
      <c r="E54" s="373">
        <v>38.26</v>
      </c>
      <c r="F54" s="374">
        <v>-120.889</v>
      </c>
      <c r="G54" s="398">
        <v>44.038329533700001</v>
      </c>
      <c r="H54" s="390">
        <v>-108.340317713</v>
      </c>
      <c r="I54" s="391">
        <v>44.007630551699997</v>
      </c>
      <c r="J54" s="390">
        <v>-93.467982295400006</v>
      </c>
      <c r="K54" s="426">
        <f t="shared" si="3"/>
        <v>-3.0698982000004094E-2</v>
      </c>
      <c r="L54" s="399"/>
      <c r="M54" s="399"/>
      <c r="N54" s="375">
        <f t="shared" si="1"/>
        <v>24.5</v>
      </c>
      <c r="O54" s="376">
        <v>24.5</v>
      </c>
      <c r="P54" s="375">
        <f t="shared" si="2"/>
        <v>24.5</v>
      </c>
      <c r="Q54" s="375"/>
      <c r="R54" s="399"/>
      <c r="S54" s="528" t="s">
        <v>889</v>
      </c>
      <c r="T54" s="544">
        <v>1</v>
      </c>
      <c r="U54" s="521">
        <v>1</v>
      </c>
      <c r="V54" s="521">
        <v>1</v>
      </c>
      <c r="W54" s="540"/>
      <c r="X54" s="400" t="s">
        <v>677</v>
      </c>
      <c r="Y54" s="379" t="s">
        <v>752</v>
      </c>
      <c r="Z54" s="401"/>
      <c r="AA54" s="385" t="s">
        <v>79</v>
      </c>
      <c r="AB54" s="372"/>
      <c r="AC54" s="382"/>
    </row>
    <row r="55" spans="1:30" s="359" customFormat="1" x14ac:dyDescent="0.2">
      <c r="A55" s="371" t="s">
        <v>92</v>
      </c>
      <c r="B55" s="370" t="s">
        <v>59</v>
      </c>
      <c r="C55" s="369" t="s">
        <v>541</v>
      </c>
      <c r="D55" s="397" t="s">
        <v>187</v>
      </c>
      <c r="E55" s="373">
        <v>38.259</v>
      </c>
      <c r="F55" s="374">
        <v>-120.892</v>
      </c>
      <c r="G55" s="398">
        <v>44.037471590599999</v>
      </c>
      <c r="H55" s="390">
        <v>-108.34367156</v>
      </c>
      <c r="I55" s="391">
        <v>44.007376310300003</v>
      </c>
      <c r="J55" s="390">
        <v>-93.471522727099995</v>
      </c>
      <c r="K55" s="426">
        <f t="shared" si="3"/>
        <v>-3.0095280299995864E-2</v>
      </c>
      <c r="L55" s="399"/>
      <c r="M55" s="399"/>
      <c r="N55" s="375">
        <f t="shared" si="1"/>
        <v>23.7</v>
      </c>
      <c r="O55" s="376">
        <v>23.7</v>
      </c>
      <c r="P55" s="375">
        <f t="shared" si="2"/>
        <v>23.7</v>
      </c>
      <c r="Q55" s="375"/>
      <c r="R55" s="399"/>
      <c r="S55" s="528" t="s">
        <v>889</v>
      </c>
      <c r="T55" s="544">
        <v>1</v>
      </c>
      <c r="U55" s="521">
        <v>1</v>
      </c>
      <c r="V55" s="521">
        <v>1</v>
      </c>
      <c r="W55" s="540"/>
      <c r="X55" s="400" t="s">
        <v>677</v>
      </c>
      <c r="Y55" s="379" t="s">
        <v>752</v>
      </c>
      <c r="Z55" s="401"/>
      <c r="AA55" s="385" t="s">
        <v>79</v>
      </c>
      <c r="AB55" s="372"/>
      <c r="AC55" s="382"/>
    </row>
    <row r="56" spans="1:30" s="359" customFormat="1" x14ac:dyDescent="0.2">
      <c r="A56" s="369" t="s">
        <v>76</v>
      </c>
      <c r="B56" s="370" t="s">
        <v>51</v>
      </c>
      <c r="C56" s="369" t="s">
        <v>75</v>
      </c>
      <c r="D56" s="397" t="s">
        <v>187</v>
      </c>
      <c r="E56" s="373">
        <v>51.1</v>
      </c>
      <c r="F56" s="374">
        <v>11</v>
      </c>
      <c r="G56" s="398">
        <v>50.087224677800002</v>
      </c>
      <c r="H56" s="390">
        <v>9.9216822069799999</v>
      </c>
      <c r="I56" s="391">
        <v>40.813876671599999</v>
      </c>
      <c r="J56" s="390">
        <v>11.359840206699999</v>
      </c>
      <c r="K56" s="426">
        <f t="shared" si="3"/>
        <v>-9.2733480062000027</v>
      </c>
      <c r="L56" s="399">
        <v>4.75</v>
      </c>
      <c r="M56" s="405">
        <v>25.18</v>
      </c>
      <c r="N56" s="405">
        <v>26.64</v>
      </c>
      <c r="O56" s="406">
        <v>27.29</v>
      </c>
      <c r="P56" s="405">
        <v>27.94</v>
      </c>
      <c r="Q56" s="405">
        <v>28.13</v>
      </c>
      <c r="R56" s="399">
        <v>4.75</v>
      </c>
      <c r="S56" s="528" t="s">
        <v>114</v>
      </c>
      <c r="T56" s="544">
        <v>1</v>
      </c>
      <c r="U56" s="521">
        <v>36</v>
      </c>
      <c r="V56" s="521">
        <v>36</v>
      </c>
      <c r="W56" s="540"/>
      <c r="X56" s="400" t="s">
        <v>678</v>
      </c>
      <c r="Y56" s="379" t="s">
        <v>199</v>
      </c>
      <c r="Z56" s="401"/>
      <c r="AA56" s="381" t="s">
        <v>77</v>
      </c>
      <c r="AB56" s="372" t="s">
        <v>77</v>
      </c>
      <c r="AC56" s="407"/>
    </row>
    <row r="57" spans="1:30" s="359" customFormat="1" x14ac:dyDescent="0.2">
      <c r="A57" s="369" t="s">
        <v>29</v>
      </c>
      <c r="B57" s="370" t="s">
        <v>96</v>
      </c>
      <c r="C57" s="371" t="s">
        <v>75</v>
      </c>
      <c r="D57" s="372" t="s">
        <v>187</v>
      </c>
      <c r="E57" s="373">
        <v>36.5</v>
      </c>
      <c r="F57" s="374">
        <v>-107.5</v>
      </c>
      <c r="G57" s="398">
        <v>41.497366814999999</v>
      </c>
      <c r="H57" s="390">
        <v>-94.056944493399996</v>
      </c>
      <c r="I57" s="391">
        <v>39.1160310522</v>
      </c>
      <c r="J57" s="390">
        <v>-80.613631653300004</v>
      </c>
      <c r="K57" s="426">
        <f t="shared" si="3"/>
        <v>-2.3813357627999991</v>
      </c>
      <c r="L57" s="375">
        <v>5.5</v>
      </c>
      <c r="M57" s="375"/>
      <c r="N57" s="375">
        <f>O57-L57</f>
        <v>22.3</v>
      </c>
      <c r="O57" s="376">
        <v>27.8</v>
      </c>
      <c r="P57" s="375">
        <f>O57+R57</f>
        <v>33.299999999999997</v>
      </c>
      <c r="Q57" s="375"/>
      <c r="R57" s="375">
        <v>5.5</v>
      </c>
      <c r="S57" s="527" t="s">
        <v>112</v>
      </c>
      <c r="T57" s="544">
        <v>1</v>
      </c>
      <c r="U57" s="521">
        <v>1</v>
      </c>
      <c r="V57" s="521">
        <v>1</v>
      </c>
      <c r="W57" s="540"/>
      <c r="X57" s="412" t="s">
        <v>888</v>
      </c>
      <c r="Y57" s="379" t="s">
        <v>752</v>
      </c>
      <c r="Z57" s="380"/>
      <c r="AA57" s="381" t="s">
        <v>28</v>
      </c>
      <c r="AB57" s="372" t="s">
        <v>28</v>
      </c>
      <c r="AC57" s="382" t="s">
        <v>27</v>
      </c>
    </row>
    <row r="58" spans="1:30" s="359" customFormat="1" x14ac:dyDescent="0.2">
      <c r="A58" s="369" t="s">
        <v>26</v>
      </c>
      <c r="B58" s="370" t="s">
        <v>99</v>
      </c>
      <c r="C58" s="371" t="s">
        <v>75</v>
      </c>
      <c r="D58" s="372" t="s">
        <v>187</v>
      </c>
      <c r="E58" s="373">
        <v>30</v>
      </c>
      <c r="F58" s="374">
        <v>-103</v>
      </c>
      <c r="G58" s="398">
        <v>34.694217679300003</v>
      </c>
      <c r="H58" s="390">
        <v>-90.013072530900004</v>
      </c>
      <c r="I58" s="391">
        <v>31.799911332499999</v>
      </c>
      <c r="J58" s="390">
        <v>-78.537556594700007</v>
      </c>
      <c r="K58" s="426">
        <f t="shared" si="3"/>
        <v>-2.8943063468000041</v>
      </c>
      <c r="L58" s="375">
        <v>5.5</v>
      </c>
      <c r="M58" s="375"/>
      <c r="N58" s="375">
        <f>O58-L58</f>
        <v>26</v>
      </c>
      <c r="O58" s="376">
        <v>31.5</v>
      </c>
      <c r="P58" s="375">
        <f>O58+R58</f>
        <v>37</v>
      </c>
      <c r="Q58" s="375"/>
      <c r="R58" s="375">
        <v>5.5</v>
      </c>
      <c r="S58" s="527" t="s">
        <v>112</v>
      </c>
      <c r="T58" s="544">
        <v>1</v>
      </c>
      <c r="U58" s="521">
        <v>1</v>
      </c>
      <c r="V58" s="521">
        <v>1</v>
      </c>
      <c r="W58" s="540"/>
      <c r="X58" s="412" t="s">
        <v>888</v>
      </c>
      <c r="Y58" s="379" t="s">
        <v>752</v>
      </c>
      <c r="Z58" s="380"/>
      <c r="AA58" s="381" t="s">
        <v>28</v>
      </c>
      <c r="AB58" s="372" t="s">
        <v>28</v>
      </c>
      <c r="AC58" s="382" t="s">
        <v>27</v>
      </c>
    </row>
    <row r="59" spans="1:30" s="359" customFormat="1" x14ac:dyDescent="0.2">
      <c r="A59" s="369" t="s">
        <v>649</v>
      </c>
      <c r="B59" s="370" t="s">
        <v>99</v>
      </c>
      <c r="C59" s="369" t="s">
        <v>651</v>
      </c>
      <c r="D59" s="397" t="s">
        <v>187</v>
      </c>
      <c r="E59" s="398">
        <v>29.44</v>
      </c>
      <c r="F59" s="390">
        <v>-103.18</v>
      </c>
      <c r="G59" s="561">
        <v>34.149944911600002</v>
      </c>
      <c r="H59" s="390">
        <v>-90.260935310700006</v>
      </c>
      <c r="I59" s="391">
        <v>31.306767456599999</v>
      </c>
      <c r="J59" s="390">
        <v>-78.898961101400005</v>
      </c>
      <c r="K59" s="426">
        <v>-2.8431774550000029</v>
      </c>
      <c r="L59" s="375">
        <v>4.5</v>
      </c>
      <c r="M59" s="375"/>
      <c r="N59" s="375">
        <f>O59-L59</f>
        <v>22.9</v>
      </c>
      <c r="O59" s="376">
        <v>27.4</v>
      </c>
      <c r="P59" s="375">
        <f>O59+R59</f>
        <v>31.9</v>
      </c>
      <c r="Q59" s="375"/>
      <c r="R59" s="375">
        <v>4.5</v>
      </c>
      <c r="S59" s="527" t="s">
        <v>645</v>
      </c>
      <c r="T59" s="544">
        <v>1</v>
      </c>
      <c r="U59" s="521">
        <v>1</v>
      </c>
      <c r="V59" s="521">
        <v>1</v>
      </c>
      <c r="W59" s="540"/>
      <c r="X59" s="412" t="s">
        <v>887</v>
      </c>
      <c r="Y59" s="379" t="s">
        <v>752</v>
      </c>
      <c r="Z59" s="380" t="s">
        <v>652</v>
      </c>
      <c r="AA59" s="381" t="s">
        <v>654</v>
      </c>
      <c r="AB59" s="372"/>
      <c r="AC59" s="382"/>
    </row>
    <row r="60" spans="1:30" s="359" customFormat="1" x14ac:dyDescent="0.2">
      <c r="A60" s="369" t="s">
        <v>36</v>
      </c>
      <c r="B60" s="370" t="s">
        <v>98</v>
      </c>
      <c r="C60" s="369" t="s">
        <v>534</v>
      </c>
      <c r="D60" s="397" t="s">
        <v>187</v>
      </c>
      <c r="E60" s="408">
        <v>31.66</v>
      </c>
      <c r="F60" s="409">
        <v>-88.1</v>
      </c>
      <c r="G60" s="398">
        <v>35.068675772600002</v>
      </c>
      <c r="H60" s="390">
        <v>-74.288673601499994</v>
      </c>
      <c r="I60" s="391">
        <v>29.756371547099999</v>
      </c>
      <c r="J60" s="390">
        <v>-63.710041822100003</v>
      </c>
      <c r="K60" s="426">
        <f t="shared" ref="K60:K88" si="4">I60-G60</f>
        <v>-5.3123042255000037</v>
      </c>
      <c r="L60" s="375">
        <v>5.0443118856787592</v>
      </c>
      <c r="M60" s="375"/>
      <c r="N60" s="375">
        <f>O60-L60</f>
        <v>16.255688114321241</v>
      </c>
      <c r="O60" s="376">
        <v>21.3</v>
      </c>
      <c r="P60" s="375">
        <f>O60+R60</f>
        <v>26.34431188567876</v>
      </c>
      <c r="Q60" s="375"/>
      <c r="R60" s="375">
        <v>5.0443118856787592</v>
      </c>
      <c r="S60" s="527" t="s">
        <v>889</v>
      </c>
      <c r="T60" s="544">
        <v>1</v>
      </c>
      <c r="U60" s="521">
        <v>6</v>
      </c>
      <c r="V60" s="521">
        <v>0</v>
      </c>
      <c r="W60" s="540">
        <v>6</v>
      </c>
      <c r="X60" s="400" t="s">
        <v>677</v>
      </c>
      <c r="Y60" s="379" t="s">
        <v>184</v>
      </c>
      <c r="Z60" s="380" t="s">
        <v>33</v>
      </c>
      <c r="AA60" s="381" t="s">
        <v>37</v>
      </c>
      <c r="AB60" s="372" t="s">
        <v>33</v>
      </c>
      <c r="AC60" s="382" t="s">
        <v>644</v>
      </c>
      <c r="AD60" s="395"/>
    </row>
    <row r="61" spans="1:30" s="359" customFormat="1" x14ac:dyDescent="0.2">
      <c r="A61" s="369" t="s">
        <v>127</v>
      </c>
      <c r="B61" s="370" t="s">
        <v>48</v>
      </c>
      <c r="C61" s="371" t="s">
        <v>535</v>
      </c>
      <c r="D61" s="372" t="s">
        <v>187</v>
      </c>
      <c r="E61" s="373">
        <v>27.9</v>
      </c>
      <c r="F61" s="374">
        <v>72.900000000000006</v>
      </c>
      <c r="G61" s="398">
        <v>4.3779876889600002</v>
      </c>
      <c r="H61" s="390">
        <v>64.463733074800004</v>
      </c>
      <c r="I61" s="391">
        <v>2.2751462013200001</v>
      </c>
      <c r="J61" s="390">
        <v>69.093252520799993</v>
      </c>
      <c r="K61" s="426">
        <f t="shared" si="4"/>
        <v>-2.1028414876400001</v>
      </c>
      <c r="L61" s="375">
        <v>2.8731341771661132</v>
      </c>
      <c r="M61" s="375"/>
      <c r="N61" s="375">
        <f>O61-L61</f>
        <v>21.396865822833888</v>
      </c>
      <c r="O61" s="376">
        <v>24.27</v>
      </c>
      <c r="P61" s="375">
        <f>O61+R61</f>
        <v>27.143134177166111</v>
      </c>
      <c r="Q61" s="375"/>
      <c r="R61" s="375">
        <v>2.8731341771661132</v>
      </c>
      <c r="S61" s="531" t="s">
        <v>108</v>
      </c>
      <c r="T61" s="544">
        <v>1</v>
      </c>
      <c r="U61" s="521">
        <v>1</v>
      </c>
      <c r="V61" s="521">
        <v>1</v>
      </c>
      <c r="W61" s="540"/>
      <c r="X61" s="383" t="s">
        <v>662</v>
      </c>
      <c r="Y61" s="388" t="s">
        <v>752</v>
      </c>
      <c r="Z61" s="380" t="s">
        <v>150</v>
      </c>
      <c r="AA61" s="381" t="s">
        <v>10</v>
      </c>
      <c r="AB61" s="372" t="s">
        <v>10</v>
      </c>
      <c r="AC61" s="382"/>
      <c r="AD61" s="395"/>
    </row>
    <row r="62" spans="1:30" s="359" customFormat="1" x14ac:dyDescent="0.2">
      <c r="A62" s="371" t="s">
        <v>202</v>
      </c>
      <c r="B62" s="392" t="s">
        <v>48</v>
      </c>
      <c r="C62" s="371" t="s">
        <v>75</v>
      </c>
      <c r="D62" s="372" t="s">
        <v>187</v>
      </c>
      <c r="E62" s="398">
        <f>21+39/60</f>
        <v>21.65</v>
      </c>
      <c r="F62" s="390">
        <f>72+12/60</f>
        <v>72.2</v>
      </c>
      <c r="G62" s="398">
        <v>-1.2780861985900001</v>
      </c>
      <c r="H62" s="390">
        <v>61.727642758599998</v>
      </c>
      <c r="I62" s="391">
        <v>-3.7610304010600002</v>
      </c>
      <c r="J62" s="390">
        <v>67.351505157800005</v>
      </c>
      <c r="K62" s="426">
        <f t="shared" si="4"/>
        <v>-2.4829442024700001</v>
      </c>
      <c r="L62" s="399">
        <v>4.72</v>
      </c>
      <c r="M62" s="405">
        <v>28.12</v>
      </c>
      <c r="N62" s="405">
        <v>28.21</v>
      </c>
      <c r="O62" s="406">
        <v>28.46</v>
      </c>
      <c r="P62" s="405">
        <v>28.7</v>
      </c>
      <c r="Q62" s="405">
        <v>28.71</v>
      </c>
      <c r="R62" s="399">
        <v>4.72</v>
      </c>
      <c r="S62" s="529" t="s">
        <v>66</v>
      </c>
      <c r="T62" s="544">
        <v>1</v>
      </c>
      <c r="U62" s="521">
        <v>3</v>
      </c>
      <c r="V62" s="521">
        <v>3</v>
      </c>
      <c r="W62" s="540"/>
      <c r="X62" s="400" t="s">
        <v>678</v>
      </c>
      <c r="Y62" s="410" t="s">
        <v>206</v>
      </c>
      <c r="Z62" s="387" t="s">
        <v>77</v>
      </c>
      <c r="AA62" s="385" t="s">
        <v>77</v>
      </c>
      <c r="AB62" s="372" t="s">
        <v>77</v>
      </c>
      <c r="AC62" s="382"/>
    </row>
    <row r="63" spans="1:30" s="359" customFormat="1" x14ac:dyDescent="0.2">
      <c r="A63" s="369" t="s">
        <v>658</v>
      </c>
      <c r="B63" s="370" t="s">
        <v>46</v>
      </c>
      <c r="C63" s="371" t="s">
        <v>536</v>
      </c>
      <c r="D63" s="372" t="s">
        <v>187</v>
      </c>
      <c r="E63" s="373">
        <v>-25</v>
      </c>
      <c r="F63" s="374">
        <v>-70</v>
      </c>
      <c r="G63" s="398">
        <v>-25.596547144500001</v>
      </c>
      <c r="H63" s="390">
        <v>-57.121365994000001</v>
      </c>
      <c r="I63" s="391">
        <v>-32.609260355899998</v>
      </c>
      <c r="J63" s="390">
        <v>-55.8892075722</v>
      </c>
      <c r="K63" s="426">
        <f t="shared" si="4"/>
        <v>-7.0127132113999977</v>
      </c>
      <c r="L63" s="375">
        <v>2</v>
      </c>
      <c r="M63" s="375"/>
      <c r="N63" s="375">
        <f>O63-L63</f>
        <v>9</v>
      </c>
      <c r="O63" s="376">
        <v>11</v>
      </c>
      <c r="P63" s="375">
        <f>O63+R63</f>
        <v>13</v>
      </c>
      <c r="Q63" s="375"/>
      <c r="R63" s="375">
        <v>2</v>
      </c>
      <c r="S63" s="527" t="s">
        <v>871</v>
      </c>
      <c r="T63" s="544">
        <v>1</v>
      </c>
      <c r="U63" s="521">
        <v>7</v>
      </c>
      <c r="V63" s="603">
        <v>7</v>
      </c>
      <c r="W63" s="540"/>
      <c r="X63" s="412" t="s">
        <v>888</v>
      </c>
      <c r="Y63" s="379" t="s">
        <v>752</v>
      </c>
      <c r="Z63" s="380" t="s">
        <v>867</v>
      </c>
      <c r="AA63" s="381" t="s">
        <v>19</v>
      </c>
      <c r="AB63" s="372" t="s">
        <v>19</v>
      </c>
      <c r="AC63" s="382" t="s">
        <v>869</v>
      </c>
    </row>
    <row r="64" spans="1:30" s="359" customFormat="1" ht="15" x14ac:dyDescent="0.2">
      <c r="A64" s="369" t="s">
        <v>658</v>
      </c>
      <c r="B64" s="370" t="s">
        <v>46</v>
      </c>
      <c r="C64" s="371" t="s">
        <v>536</v>
      </c>
      <c r="D64" s="372" t="s">
        <v>187</v>
      </c>
      <c r="E64" s="373">
        <v>-25</v>
      </c>
      <c r="F64" s="374">
        <v>-70</v>
      </c>
      <c r="G64" s="398">
        <v>-25.596547144500001</v>
      </c>
      <c r="H64" s="390">
        <v>-57.121365994000001</v>
      </c>
      <c r="I64" s="391">
        <v>-32.609260355899998</v>
      </c>
      <c r="J64" s="390">
        <v>-55.8892075722</v>
      </c>
      <c r="K64" s="426">
        <f t="shared" si="4"/>
        <v>-7.0127132113999977</v>
      </c>
      <c r="L64" s="375">
        <v>4</v>
      </c>
      <c r="M64" s="375"/>
      <c r="N64" s="375">
        <f>O64-L64</f>
        <v>5.5</v>
      </c>
      <c r="O64" s="376">
        <v>9.5</v>
      </c>
      <c r="P64" s="375">
        <f>O64+R64</f>
        <v>13.5</v>
      </c>
      <c r="Q64" s="375"/>
      <c r="R64" s="375">
        <v>4</v>
      </c>
      <c r="S64" s="527" t="s">
        <v>872</v>
      </c>
      <c r="T64" s="544">
        <v>1</v>
      </c>
      <c r="U64" s="521">
        <v>7</v>
      </c>
      <c r="V64" s="603">
        <v>7</v>
      </c>
      <c r="W64" s="540"/>
      <c r="X64" s="412" t="s">
        <v>888</v>
      </c>
      <c r="Y64" s="379" t="s">
        <v>752</v>
      </c>
      <c r="Z64" s="380" t="s">
        <v>834</v>
      </c>
      <c r="AA64" s="381" t="s">
        <v>19</v>
      </c>
      <c r="AB64" s="372" t="s">
        <v>19</v>
      </c>
      <c r="AC64" s="444" t="s">
        <v>868</v>
      </c>
    </row>
    <row r="65" spans="1:30" s="359" customFormat="1" x14ac:dyDescent="0.2">
      <c r="A65" s="369" t="s">
        <v>168</v>
      </c>
      <c r="B65" s="370" t="s">
        <v>166</v>
      </c>
      <c r="C65" s="411" t="s">
        <v>75</v>
      </c>
      <c r="D65" s="392" t="s">
        <v>187</v>
      </c>
      <c r="E65" s="373">
        <v>-36.58</v>
      </c>
      <c r="F65" s="374">
        <v>-72.97</v>
      </c>
      <c r="G65" s="398">
        <v>-37.244244436599999</v>
      </c>
      <c r="H65" s="390">
        <v>-59.722488287700003</v>
      </c>
      <c r="I65" s="391">
        <v>-43.769885064299999</v>
      </c>
      <c r="J65" s="390">
        <v>-61.002333332299997</v>
      </c>
      <c r="K65" s="426">
        <f t="shared" si="4"/>
        <v>-6.5256406276999996</v>
      </c>
      <c r="L65" s="375">
        <v>2.1</v>
      </c>
      <c r="M65" s="375"/>
      <c r="N65" s="375">
        <f>O65-L65</f>
        <v>17.2</v>
      </c>
      <c r="O65" s="376">
        <v>19.3</v>
      </c>
      <c r="P65" s="375">
        <f>O65+R65</f>
        <v>21.400000000000002</v>
      </c>
      <c r="Q65" s="375"/>
      <c r="R65" s="375">
        <v>2.1</v>
      </c>
      <c r="S65" s="527" t="s">
        <v>171</v>
      </c>
      <c r="T65" s="544">
        <v>1</v>
      </c>
      <c r="U65" s="521">
        <v>1</v>
      </c>
      <c r="V65" s="521">
        <v>1</v>
      </c>
      <c r="W65" s="540"/>
      <c r="X65" s="412" t="s">
        <v>662</v>
      </c>
      <c r="Y65" s="388" t="s">
        <v>752</v>
      </c>
      <c r="Z65" s="380" t="s">
        <v>172</v>
      </c>
      <c r="AA65" s="377" t="s">
        <v>173</v>
      </c>
      <c r="AB65" s="372"/>
      <c r="AC65" s="382"/>
    </row>
    <row r="66" spans="1:30" s="359" customFormat="1" x14ac:dyDescent="0.2">
      <c r="A66" s="369" t="s">
        <v>168</v>
      </c>
      <c r="B66" s="370" t="s">
        <v>166</v>
      </c>
      <c r="C66" s="411" t="s">
        <v>75</v>
      </c>
      <c r="D66" s="392" t="s">
        <v>187</v>
      </c>
      <c r="E66" s="373">
        <v>-36.58</v>
      </c>
      <c r="F66" s="374">
        <v>-72.97</v>
      </c>
      <c r="G66" s="398">
        <v>-37.244244436599999</v>
      </c>
      <c r="H66" s="390">
        <v>-59.722488287700003</v>
      </c>
      <c r="I66" s="391">
        <v>-43.769885064299999</v>
      </c>
      <c r="J66" s="390">
        <v>-61.002333332299997</v>
      </c>
      <c r="K66" s="426">
        <f t="shared" si="4"/>
        <v>-6.5256406276999996</v>
      </c>
      <c r="L66" s="375">
        <v>2.1</v>
      </c>
      <c r="M66" s="375"/>
      <c r="N66" s="375">
        <f>O66-L66</f>
        <v>23.4</v>
      </c>
      <c r="O66" s="376">
        <v>25.5</v>
      </c>
      <c r="P66" s="375">
        <f>O66+R66</f>
        <v>27.6</v>
      </c>
      <c r="Q66" s="375"/>
      <c r="R66" s="375">
        <v>2.1</v>
      </c>
      <c r="S66" s="527" t="s">
        <v>169</v>
      </c>
      <c r="T66" s="544">
        <v>1</v>
      </c>
      <c r="U66" s="521">
        <v>1</v>
      </c>
      <c r="V66" s="521">
        <v>1</v>
      </c>
      <c r="W66" s="540"/>
      <c r="X66" s="412" t="s">
        <v>662</v>
      </c>
      <c r="Y66" s="379" t="s">
        <v>752</v>
      </c>
      <c r="Z66" s="380" t="s">
        <v>172</v>
      </c>
      <c r="AA66" s="377" t="s">
        <v>173</v>
      </c>
      <c r="AB66" s="372"/>
      <c r="AC66" s="382"/>
    </row>
    <row r="67" spans="1:30" s="413" customFormat="1" x14ac:dyDescent="0.2">
      <c r="A67" s="369" t="s">
        <v>168</v>
      </c>
      <c r="B67" s="370" t="s">
        <v>166</v>
      </c>
      <c r="C67" s="411" t="s">
        <v>75</v>
      </c>
      <c r="D67" s="392" t="s">
        <v>187</v>
      </c>
      <c r="E67" s="373">
        <v>-36.58</v>
      </c>
      <c r="F67" s="374">
        <v>-72.97</v>
      </c>
      <c r="G67" s="398">
        <v>-37.244244436599999</v>
      </c>
      <c r="H67" s="390">
        <v>-59.722488287700003</v>
      </c>
      <c r="I67" s="391">
        <v>-43.769885064299999</v>
      </c>
      <c r="J67" s="390">
        <v>-61.002333332299997</v>
      </c>
      <c r="K67" s="426">
        <f t="shared" si="4"/>
        <v>-6.5256406276999996</v>
      </c>
      <c r="L67" s="375">
        <v>2.1</v>
      </c>
      <c r="M67" s="375"/>
      <c r="N67" s="375">
        <f>O67-L67</f>
        <v>20.7</v>
      </c>
      <c r="O67" s="376">
        <v>22.8</v>
      </c>
      <c r="P67" s="375">
        <f>O67+R67</f>
        <v>24.900000000000002</v>
      </c>
      <c r="Q67" s="375"/>
      <c r="R67" s="375">
        <v>2.1</v>
      </c>
      <c r="S67" s="527" t="s">
        <v>170</v>
      </c>
      <c r="T67" s="544">
        <v>1</v>
      </c>
      <c r="U67" s="521">
        <v>1</v>
      </c>
      <c r="V67" s="521">
        <v>1</v>
      </c>
      <c r="W67" s="540"/>
      <c r="X67" s="412" t="s">
        <v>662</v>
      </c>
      <c r="Y67" s="379" t="s">
        <v>752</v>
      </c>
      <c r="Z67" s="380" t="s">
        <v>172</v>
      </c>
      <c r="AA67" s="377" t="s">
        <v>173</v>
      </c>
      <c r="AB67" s="372"/>
      <c r="AC67" s="382"/>
      <c r="AD67" s="359"/>
    </row>
    <row r="68" spans="1:30" s="359" customFormat="1" x14ac:dyDescent="0.2">
      <c r="A68" s="369" t="s">
        <v>40</v>
      </c>
      <c r="B68" s="370" t="s">
        <v>49</v>
      </c>
      <c r="C68" s="369" t="s">
        <v>679</v>
      </c>
      <c r="D68" s="372" t="s">
        <v>187</v>
      </c>
      <c r="E68" s="408">
        <v>-43.068190000000001</v>
      </c>
      <c r="F68" s="409">
        <v>172.74089799999999</v>
      </c>
      <c r="G68" s="398">
        <v>-54.897598248599998</v>
      </c>
      <c r="H68" s="390">
        <v>-160.07237513000001</v>
      </c>
      <c r="I68" s="391">
        <v>-46.287592380500001</v>
      </c>
      <c r="J68" s="390">
        <v>-161.05674278699999</v>
      </c>
      <c r="K68" s="426">
        <f t="shared" si="4"/>
        <v>8.6100058680999965</v>
      </c>
      <c r="L68" s="375">
        <v>5.7723491636567292</v>
      </c>
      <c r="M68" s="405">
        <v>18.91</v>
      </c>
      <c r="N68" s="405">
        <v>19.87</v>
      </c>
      <c r="O68" s="406">
        <v>20.79</v>
      </c>
      <c r="P68" s="405">
        <v>21.71</v>
      </c>
      <c r="Q68" s="405">
        <v>21.49</v>
      </c>
      <c r="R68" s="375">
        <v>5.7723491636567292</v>
      </c>
      <c r="S68" s="527" t="s">
        <v>890</v>
      </c>
      <c r="T68" s="544">
        <v>1</v>
      </c>
      <c r="U68" s="521">
        <v>6</v>
      </c>
      <c r="V68" s="521">
        <v>0</v>
      </c>
      <c r="W68" s="540">
        <v>6</v>
      </c>
      <c r="X68" s="400" t="s">
        <v>677</v>
      </c>
      <c r="Y68" s="379" t="s">
        <v>184</v>
      </c>
      <c r="Z68" s="380" t="s">
        <v>33</v>
      </c>
      <c r="AA68" s="381" t="s">
        <v>15</v>
      </c>
      <c r="AB68" s="372" t="s">
        <v>33</v>
      </c>
      <c r="AC68" s="382" t="s">
        <v>644</v>
      </c>
    </row>
    <row r="69" spans="1:30" s="359" customFormat="1" x14ac:dyDescent="0.2">
      <c r="A69" s="369" t="s">
        <v>40</v>
      </c>
      <c r="B69" s="392" t="s">
        <v>49</v>
      </c>
      <c r="C69" s="369" t="s">
        <v>539</v>
      </c>
      <c r="D69" s="372" t="s">
        <v>187</v>
      </c>
      <c r="E69" s="408">
        <v>-43.068190000000001</v>
      </c>
      <c r="F69" s="409">
        <v>172.74089799999999</v>
      </c>
      <c r="G69" s="398">
        <v>-54.897598248599998</v>
      </c>
      <c r="H69" s="390">
        <v>-160.07237513000001</v>
      </c>
      <c r="I69" s="391">
        <v>-46.287592380500001</v>
      </c>
      <c r="J69" s="390">
        <v>-161.05674278699999</v>
      </c>
      <c r="K69" s="426">
        <f t="shared" si="4"/>
        <v>8.6100058680999965</v>
      </c>
      <c r="L69" s="375">
        <v>7.2029906983141379</v>
      </c>
      <c r="M69" s="375"/>
      <c r="N69" s="375">
        <f>O69-L69</f>
        <v>9.1970093016858598</v>
      </c>
      <c r="O69" s="376">
        <v>16.399999999999999</v>
      </c>
      <c r="P69" s="375">
        <f>O69+R69</f>
        <v>23.602990698314137</v>
      </c>
      <c r="Q69" s="375"/>
      <c r="R69" s="375">
        <v>7.2029906983141379</v>
      </c>
      <c r="S69" s="532" t="s">
        <v>107</v>
      </c>
      <c r="T69" s="544">
        <v>1</v>
      </c>
      <c r="U69" s="521">
        <v>2</v>
      </c>
      <c r="V69" s="521">
        <v>2</v>
      </c>
      <c r="W69" s="540"/>
      <c r="X69" s="412" t="s">
        <v>661</v>
      </c>
      <c r="Y69" s="379" t="s">
        <v>184</v>
      </c>
      <c r="Z69" s="415" t="s">
        <v>640</v>
      </c>
      <c r="AA69" s="381" t="s">
        <v>15</v>
      </c>
      <c r="AB69" s="372" t="s">
        <v>15</v>
      </c>
      <c r="AC69" s="382"/>
    </row>
    <row r="70" spans="1:30" s="359" customFormat="1" x14ac:dyDescent="0.2">
      <c r="A70" s="369" t="s">
        <v>40</v>
      </c>
      <c r="B70" s="392" t="s">
        <v>49</v>
      </c>
      <c r="C70" s="369" t="s">
        <v>539</v>
      </c>
      <c r="D70" s="372" t="s">
        <v>187</v>
      </c>
      <c r="E70" s="408">
        <v>-43.068190000000001</v>
      </c>
      <c r="F70" s="409">
        <v>172.74089799999999</v>
      </c>
      <c r="G70" s="398">
        <v>-54.897598248599998</v>
      </c>
      <c r="H70" s="390">
        <v>-160.07237513000001</v>
      </c>
      <c r="I70" s="391">
        <v>-46.287592380500001</v>
      </c>
      <c r="J70" s="390">
        <v>-161.05674278699999</v>
      </c>
      <c r="K70" s="426">
        <f t="shared" si="4"/>
        <v>8.6100058680999965</v>
      </c>
      <c r="L70" s="375">
        <v>5.3965266607327962</v>
      </c>
      <c r="M70" s="375"/>
      <c r="N70" s="375">
        <f>O70-L70</f>
        <v>14.553473339267203</v>
      </c>
      <c r="O70" s="376">
        <v>19.95</v>
      </c>
      <c r="P70" s="375">
        <f>O70+R70</f>
        <v>25.346526660732795</v>
      </c>
      <c r="Q70" s="375"/>
      <c r="R70" s="375">
        <v>5.3965266607327962</v>
      </c>
      <c r="S70" s="532" t="s">
        <v>116</v>
      </c>
      <c r="T70" s="544">
        <v>1</v>
      </c>
      <c r="U70" s="521">
        <v>2</v>
      </c>
      <c r="V70" s="521">
        <v>2</v>
      </c>
      <c r="W70" s="540"/>
      <c r="X70" s="412" t="s">
        <v>661</v>
      </c>
      <c r="Y70" s="379" t="s">
        <v>184</v>
      </c>
      <c r="Z70" s="415" t="s">
        <v>641</v>
      </c>
      <c r="AA70" s="381" t="s">
        <v>15</v>
      </c>
      <c r="AB70" s="372" t="s">
        <v>15</v>
      </c>
      <c r="AC70" s="382"/>
    </row>
    <row r="71" spans="1:30" s="359" customFormat="1" x14ac:dyDescent="0.2">
      <c r="A71" s="416" t="s">
        <v>102</v>
      </c>
      <c r="B71" s="370" t="s">
        <v>49</v>
      </c>
      <c r="C71" s="411" t="s">
        <v>100</v>
      </c>
      <c r="D71" s="392" t="s">
        <v>187</v>
      </c>
      <c r="E71" s="417">
        <v>-44.5</v>
      </c>
      <c r="F71" s="284">
        <v>170.9</v>
      </c>
      <c r="G71" s="398">
        <v>-56.240647967500003</v>
      </c>
      <c r="H71" s="390">
        <v>-162.58178140300001</v>
      </c>
      <c r="I71" s="391">
        <v>-47.425977227099999</v>
      </c>
      <c r="J71" s="390">
        <v>-163.37846858099999</v>
      </c>
      <c r="K71" s="426">
        <f t="shared" si="4"/>
        <v>8.814670740400004</v>
      </c>
      <c r="L71" s="399">
        <v>4.8</v>
      </c>
      <c r="M71" s="405">
        <v>27.22</v>
      </c>
      <c r="N71" s="405">
        <v>27.21</v>
      </c>
      <c r="O71" s="406">
        <v>27.87</v>
      </c>
      <c r="P71" s="405">
        <v>28.52</v>
      </c>
      <c r="Q71" s="405">
        <v>28.93</v>
      </c>
      <c r="R71" s="399">
        <v>4.75</v>
      </c>
      <c r="S71" s="530" t="s">
        <v>66</v>
      </c>
      <c r="T71" s="544">
        <v>1</v>
      </c>
      <c r="U71" s="521">
        <v>6</v>
      </c>
      <c r="V71" s="521">
        <v>6</v>
      </c>
      <c r="W71" s="540"/>
      <c r="X71" s="400" t="s">
        <v>678</v>
      </c>
      <c r="Y71" s="379" t="s">
        <v>206</v>
      </c>
      <c r="Z71" s="380" t="s">
        <v>653</v>
      </c>
      <c r="AA71" s="418" t="s">
        <v>77</v>
      </c>
      <c r="AB71" s="392" t="s">
        <v>77</v>
      </c>
      <c r="AC71" s="419" t="s">
        <v>101</v>
      </c>
    </row>
    <row r="72" spans="1:30" s="359" customFormat="1" x14ac:dyDescent="0.2">
      <c r="A72" s="371" t="s">
        <v>179</v>
      </c>
      <c r="B72" s="370" t="s">
        <v>46</v>
      </c>
      <c r="C72" s="371" t="s">
        <v>75</v>
      </c>
      <c r="D72" s="372" t="s">
        <v>187</v>
      </c>
      <c r="E72" s="373">
        <v>-42.17</v>
      </c>
      <c r="F72" s="374">
        <v>-70</v>
      </c>
      <c r="G72" s="398">
        <v>-42.758881970099999</v>
      </c>
      <c r="H72" s="390">
        <v>-56.4956534007</v>
      </c>
      <c r="I72" s="391">
        <v>-49.6345252789</v>
      </c>
      <c r="J72" s="390">
        <v>-58.8791487047</v>
      </c>
      <c r="K72" s="426">
        <f t="shared" si="4"/>
        <v>-6.8756433088000009</v>
      </c>
      <c r="L72" s="375">
        <v>2.1</v>
      </c>
      <c r="M72" s="375"/>
      <c r="N72" s="375">
        <f t="shared" ref="N72:N81" si="5">O72-L72</f>
        <v>16.2</v>
      </c>
      <c r="O72" s="376">
        <v>18.3</v>
      </c>
      <c r="P72" s="375">
        <f t="shared" ref="P72:P81" si="6">O72+R72</f>
        <v>20.400000000000002</v>
      </c>
      <c r="Q72" s="375"/>
      <c r="R72" s="375">
        <v>2.1</v>
      </c>
      <c r="S72" s="527" t="s">
        <v>171</v>
      </c>
      <c r="T72" s="544">
        <v>1</v>
      </c>
      <c r="U72" s="521">
        <v>1</v>
      </c>
      <c r="V72" s="521">
        <v>1</v>
      </c>
      <c r="W72" s="540"/>
      <c r="X72" s="412" t="s">
        <v>662</v>
      </c>
      <c r="Y72" s="388" t="s">
        <v>752</v>
      </c>
      <c r="Z72" s="415" t="s">
        <v>180</v>
      </c>
      <c r="AA72" s="381" t="s">
        <v>182</v>
      </c>
      <c r="AB72" s="372" t="s">
        <v>181</v>
      </c>
      <c r="AC72" s="382"/>
    </row>
    <row r="73" spans="1:30" s="359" customFormat="1" x14ac:dyDescent="0.2">
      <c r="A73" s="371" t="s">
        <v>179</v>
      </c>
      <c r="B73" s="370" t="s">
        <v>46</v>
      </c>
      <c r="C73" s="371" t="s">
        <v>75</v>
      </c>
      <c r="D73" s="372" t="s">
        <v>187</v>
      </c>
      <c r="E73" s="373">
        <v>-42.17</v>
      </c>
      <c r="F73" s="374">
        <v>-70</v>
      </c>
      <c r="G73" s="398">
        <v>-42.758881970099999</v>
      </c>
      <c r="H73" s="390">
        <v>-56.4956534007</v>
      </c>
      <c r="I73" s="391">
        <v>-49.6345252789</v>
      </c>
      <c r="J73" s="390">
        <v>-58.8791487047</v>
      </c>
      <c r="K73" s="426">
        <f t="shared" si="4"/>
        <v>-6.8756433088000009</v>
      </c>
      <c r="L73" s="375">
        <v>2.1</v>
      </c>
      <c r="M73" s="375"/>
      <c r="N73" s="375">
        <f t="shared" si="5"/>
        <v>18.799999999999997</v>
      </c>
      <c r="O73" s="376">
        <v>20.9</v>
      </c>
      <c r="P73" s="375">
        <f t="shared" si="6"/>
        <v>23</v>
      </c>
      <c r="Q73" s="375"/>
      <c r="R73" s="375">
        <v>2.1</v>
      </c>
      <c r="S73" s="527" t="s">
        <v>169</v>
      </c>
      <c r="T73" s="544">
        <v>1</v>
      </c>
      <c r="U73" s="521">
        <v>1</v>
      </c>
      <c r="V73" s="521">
        <v>1</v>
      </c>
      <c r="W73" s="540"/>
      <c r="X73" s="412" t="s">
        <v>662</v>
      </c>
      <c r="Y73" s="379" t="s">
        <v>752</v>
      </c>
      <c r="Z73" s="415" t="s">
        <v>180</v>
      </c>
      <c r="AA73" s="381" t="s">
        <v>182</v>
      </c>
      <c r="AB73" s="372" t="s">
        <v>181</v>
      </c>
      <c r="AC73" s="382"/>
    </row>
    <row r="74" spans="1:30" s="359" customFormat="1" x14ac:dyDescent="0.2">
      <c r="A74" s="371" t="s">
        <v>179</v>
      </c>
      <c r="B74" s="370" t="s">
        <v>46</v>
      </c>
      <c r="C74" s="371" t="s">
        <v>75</v>
      </c>
      <c r="D74" s="372" t="s">
        <v>187</v>
      </c>
      <c r="E74" s="373">
        <v>-42.17</v>
      </c>
      <c r="F74" s="374">
        <v>-70</v>
      </c>
      <c r="G74" s="398">
        <v>-42.758881970099999</v>
      </c>
      <c r="H74" s="390">
        <v>-56.4956534007</v>
      </c>
      <c r="I74" s="391">
        <v>-49.6345252789</v>
      </c>
      <c r="J74" s="390">
        <v>-58.8791487047</v>
      </c>
      <c r="K74" s="426">
        <f t="shared" si="4"/>
        <v>-6.8756433088000009</v>
      </c>
      <c r="L74" s="375">
        <v>2.1</v>
      </c>
      <c r="M74" s="375"/>
      <c r="N74" s="375">
        <f t="shared" si="5"/>
        <v>18.5</v>
      </c>
      <c r="O74" s="376">
        <v>20.6</v>
      </c>
      <c r="P74" s="375">
        <f t="shared" si="6"/>
        <v>22.700000000000003</v>
      </c>
      <c r="Q74" s="375"/>
      <c r="R74" s="375">
        <v>2.1</v>
      </c>
      <c r="S74" s="527" t="s">
        <v>170</v>
      </c>
      <c r="T74" s="544">
        <v>1</v>
      </c>
      <c r="U74" s="521">
        <v>1</v>
      </c>
      <c r="V74" s="521">
        <v>1</v>
      </c>
      <c r="W74" s="540"/>
      <c r="X74" s="412" t="s">
        <v>662</v>
      </c>
      <c r="Y74" s="379" t="s">
        <v>752</v>
      </c>
      <c r="Z74" s="415" t="s">
        <v>180</v>
      </c>
      <c r="AA74" s="381" t="s">
        <v>182</v>
      </c>
      <c r="AB74" s="372" t="s">
        <v>181</v>
      </c>
      <c r="AC74" s="382"/>
      <c r="AD74" s="413"/>
    </row>
    <row r="75" spans="1:30" s="359" customFormat="1" x14ac:dyDescent="0.2">
      <c r="A75" s="371" t="s">
        <v>136</v>
      </c>
      <c r="B75" s="392" t="s">
        <v>46</v>
      </c>
      <c r="C75" s="371" t="s">
        <v>538</v>
      </c>
      <c r="D75" s="372" t="s">
        <v>187</v>
      </c>
      <c r="E75" s="373">
        <v>-42.5</v>
      </c>
      <c r="F75" s="374">
        <v>-70</v>
      </c>
      <c r="G75" s="398">
        <v>-43.088697283000002</v>
      </c>
      <c r="H75" s="390">
        <v>-56.4805780927</v>
      </c>
      <c r="I75" s="391">
        <v>-49.960824601799999</v>
      </c>
      <c r="J75" s="390">
        <v>-58.9554981721</v>
      </c>
      <c r="K75" s="426">
        <f t="shared" si="4"/>
        <v>-6.8721273187999969</v>
      </c>
      <c r="L75" s="375">
        <v>2.1</v>
      </c>
      <c r="M75" s="375"/>
      <c r="N75" s="375">
        <f t="shared" si="5"/>
        <v>15.4</v>
      </c>
      <c r="O75" s="376">
        <v>17.5</v>
      </c>
      <c r="P75" s="375">
        <f t="shared" si="6"/>
        <v>19.600000000000001</v>
      </c>
      <c r="Q75" s="375"/>
      <c r="R75" s="375">
        <v>2.1</v>
      </c>
      <c r="S75" s="527" t="s">
        <v>171</v>
      </c>
      <c r="T75" s="544">
        <v>1</v>
      </c>
      <c r="U75" s="521">
        <v>1</v>
      </c>
      <c r="V75" s="521">
        <v>1</v>
      </c>
      <c r="W75" s="540"/>
      <c r="X75" s="412" t="s">
        <v>662</v>
      </c>
      <c r="Y75" s="388" t="s">
        <v>752</v>
      </c>
      <c r="Z75" s="415" t="s">
        <v>180</v>
      </c>
      <c r="AA75" s="381" t="s">
        <v>182</v>
      </c>
      <c r="AB75" s="372" t="s">
        <v>181</v>
      </c>
      <c r="AC75" s="382"/>
    </row>
    <row r="76" spans="1:30" s="359" customFormat="1" x14ac:dyDescent="0.2">
      <c r="A76" s="371" t="s">
        <v>136</v>
      </c>
      <c r="B76" s="392" t="s">
        <v>46</v>
      </c>
      <c r="C76" s="371" t="s">
        <v>538</v>
      </c>
      <c r="D76" s="372" t="s">
        <v>187</v>
      </c>
      <c r="E76" s="373">
        <v>-42.5</v>
      </c>
      <c r="F76" s="374">
        <v>-70</v>
      </c>
      <c r="G76" s="398">
        <v>-43.088697283000002</v>
      </c>
      <c r="H76" s="390">
        <v>-56.4805780927</v>
      </c>
      <c r="I76" s="391">
        <v>-49.960824601799999</v>
      </c>
      <c r="J76" s="390">
        <v>-58.9554981721</v>
      </c>
      <c r="K76" s="426">
        <f t="shared" si="4"/>
        <v>-6.8721273187999969</v>
      </c>
      <c r="L76" s="375">
        <v>4</v>
      </c>
      <c r="M76" s="375"/>
      <c r="N76" s="375">
        <f t="shared" si="5"/>
        <v>6.9</v>
      </c>
      <c r="O76" s="376">
        <v>10.9</v>
      </c>
      <c r="P76" s="375">
        <f t="shared" si="6"/>
        <v>14.9</v>
      </c>
      <c r="Q76" s="375"/>
      <c r="R76" s="375">
        <v>4</v>
      </c>
      <c r="S76" s="527" t="s">
        <v>148</v>
      </c>
      <c r="T76" s="544">
        <v>1</v>
      </c>
      <c r="U76" s="521">
        <v>1</v>
      </c>
      <c r="V76" s="521">
        <v>1</v>
      </c>
      <c r="W76" s="540"/>
      <c r="X76" s="378" t="s">
        <v>662</v>
      </c>
      <c r="Y76" s="379" t="s">
        <v>752</v>
      </c>
      <c r="Z76" s="380"/>
      <c r="AA76" s="381" t="s">
        <v>14</v>
      </c>
      <c r="AB76" s="372" t="s">
        <v>14</v>
      </c>
      <c r="AC76" s="382"/>
    </row>
    <row r="77" spans="1:30" s="359" customFormat="1" x14ac:dyDescent="0.2">
      <c r="A77" s="371" t="s">
        <v>136</v>
      </c>
      <c r="B77" s="392" t="s">
        <v>46</v>
      </c>
      <c r="C77" s="371" t="s">
        <v>538</v>
      </c>
      <c r="D77" s="372" t="s">
        <v>187</v>
      </c>
      <c r="E77" s="373">
        <v>-42.5</v>
      </c>
      <c r="F77" s="374">
        <v>-70</v>
      </c>
      <c r="G77" s="398">
        <v>-43.088697283000002</v>
      </c>
      <c r="H77" s="390">
        <v>-56.4805780927</v>
      </c>
      <c r="I77" s="391">
        <v>-49.960824601799999</v>
      </c>
      <c r="J77" s="390">
        <v>-58.9554981721</v>
      </c>
      <c r="K77" s="426">
        <f t="shared" si="4"/>
        <v>-6.8721273187999969</v>
      </c>
      <c r="L77" s="375">
        <v>1.7</v>
      </c>
      <c r="M77" s="375"/>
      <c r="N77" s="375">
        <f t="shared" si="5"/>
        <v>15.2</v>
      </c>
      <c r="O77" s="376">
        <v>16.899999999999999</v>
      </c>
      <c r="P77" s="375">
        <f t="shared" si="6"/>
        <v>18.599999999999998</v>
      </c>
      <c r="Q77" s="375"/>
      <c r="R77" s="375">
        <v>1.7</v>
      </c>
      <c r="S77" s="527" t="s">
        <v>148</v>
      </c>
      <c r="T77" s="544">
        <v>1</v>
      </c>
      <c r="U77" s="521">
        <v>1</v>
      </c>
      <c r="V77" s="521">
        <v>1</v>
      </c>
      <c r="W77" s="540"/>
      <c r="X77" s="378" t="s">
        <v>662</v>
      </c>
      <c r="Y77" s="379" t="s">
        <v>752</v>
      </c>
      <c r="Z77" s="380"/>
      <c r="AA77" s="381" t="s">
        <v>14</v>
      </c>
      <c r="AB77" s="372" t="s">
        <v>14</v>
      </c>
      <c r="AC77" s="382"/>
    </row>
    <row r="78" spans="1:30" s="359" customFormat="1" x14ac:dyDescent="0.2">
      <c r="A78" s="371" t="s">
        <v>136</v>
      </c>
      <c r="B78" s="392" t="s">
        <v>46</v>
      </c>
      <c r="C78" s="371" t="s">
        <v>538</v>
      </c>
      <c r="D78" s="372" t="s">
        <v>187</v>
      </c>
      <c r="E78" s="373">
        <v>-42.5</v>
      </c>
      <c r="F78" s="374">
        <v>-70</v>
      </c>
      <c r="G78" s="398">
        <v>-43.088697283000002</v>
      </c>
      <c r="H78" s="390">
        <v>-56.4805780927</v>
      </c>
      <c r="I78" s="391">
        <v>-49.960824601799999</v>
      </c>
      <c r="J78" s="390">
        <v>-58.9554981721</v>
      </c>
      <c r="K78" s="426">
        <f t="shared" si="4"/>
        <v>-6.8721273187999969</v>
      </c>
      <c r="L78" s="375">
        <v>6.63</v>
      </c>
      <c r="M78" s="375"/>
      <c r="N78" s="375">
        <f t="shared" si="5"/>
        <v>14.09</v>
      </c>
      <c r="O78" s="376">
        <v>20.72</v>
      </c>
      <c r="P78" s="375">
        <f t="shared" si="6"/>
        <v>26.479999999999997</v>
      </c>
      <c r="Q78" s="375"/>
      <c r="R78" s="375">
        <v>5.76</v>
      </c>
      <c r="S78" s="531" t="s">
        <v>113</v>
      </c>
      <c r="T78" s="544">
        <v>1</v>
      </c>
      <c r="U78" s="521">
        <v>1</v>
      </c>
      <c r="V78" s="521">
        <v>1</v>
      </c>
      <c r="W78" s="540"/>
      <c r="X78" s="383" t="s">
        <v>662</v>
      </c>
      <c r="Y78" s="379" t="s">
        <v>752</v>
      </c>
      <c r="Z78" s="384" t="s">
        <v>147</v>
      </c>
      <c r="AA78" s="381" t="s">
        <v>4</v>
      </c>
      <c r="AB78" s="372" t="s">
        <v>4</v>
      </c>
      <c r="AC78" s="382"/>
    </row>
    <row r="79" spans="1:30" s="359" customFormat="1" x14ac:dyDescent="0.2">
      <c r="A79" s="371" t="s">
        <v>136</v>
      </c>
      <c r="B79" s="392" t="s">
        <v>46</v>
      </c>
      <c r="C79" s="371" t="s">
        <v>538</v>
      </c>
      <c r="D79" s="372" t="s">
        <v>187</v>
      </c>
      <c r="E79" s="373">
        <v>-42.5</v>
      </c>
      <c r="F79" s="374">
        <v>-70</v>
      </c>
      <c r="G79" s="398">
        <v>-43.088697283000002</v>
      </c>
      <c r="H79" s="390">
        <v>-56.4805780927</v>
      </c>
      <c r="I79" s="391">
        <v>-49.960824601799999</v>
      </c>
      <c r="J79" s="390">
        <v>-58.9554981721</v>
      </c>
      <c r="K79" s="426">
        <f t="shared" si="4"/>
        <v>-6.8721273187999969</v>
      </c>
      <c r="L79" s="375">
        <v>4.8</v>
      </c>
      <c r="M79" s="375"/>
      <c r="N79" s="375">
        <f t="shared" si="5"/>
        <v>9.3000000000000007</v>
      </c>
      <c r="O79" s="376">
        <v>14.1</v>
      </c>
      <c r="P79" s="375">
        <f t="shared" si="6"/>
        <v>18.899999999999999</v>
      </c>
      <c r="Q79" s="375"/>
      <c r="R79" s="375">
        <v>4.8</v>
      </c>
      <c r="S79" s="527" t="s">
        <v>113</v>
      </c>
      <c r="T79" s="544">
        <v>1</v>
      </c>
      <c r="U79" s="521">
        <v>1</v>
      </c>
      <c r="V79" s="521">
        <v>1</v>
      </c>
      <c r="W79" s="540"/>
      <c r="X79" s="378" t="s">
        <v>662</v>
      </c>
      <c r="Y79" s="379" t="s">
        <v>752</v>
      </c>
      <c r="Z79" s="380" t="s">
        <v>156</v>
      </c>
      <c r="AA79" s="381" t="s">
        <v>14</v>
      </c>
      <c r="AB79" s="372" t="s">
        <v>14</v>
      </c>
      <c r="AC79" s="382"/>
    </row>
    <row r="80" spans="1:30" s="359" customFormat="1" x14ac:dyDescent="0.2">
      <c r="A80" s="371" t="s">
        <v>136</v>
      </c>
      <c r="B80" s="392" t="s">
        <v>46</v>
      </c>
      <c r="C80" s="371" t="s">
        <v>538</v>
      </c>
      <c r="D80" s="372" t="s">
        <v>187</v>
      </c>
      <c r="E80" s="373">
        <v>-42.5</v>
      </c>
      <c r="F80" s="374">
        <v>-70</v>
      </c>
      <c r="G80" s="398">
        <v>-43.088697283000002</v>
      </c>
      <c r="H80" s="390">
        <v>-56.4805780927</v>
      </c>
      <c r="I80" s="391">
        <v>-49.960824601799999</v>
      </c>
      <c r="J80" s="390">
        <v>-58.9554981721</v>
      </c>
      <c r="K80" s="426">
        <f t="shared" si="4"/>
        <v>-6.8721273187999969</v>
      </c>
      <c r="L80" s="375">
        <v>2.1</v>
      </c>
      <c r="M80" s="375"/>
      <c r="N80" s="375">
        <f t="shared" si="5"/>
        <v>17.5</v>
      </c>
      <c r="O80" s="376">
        <v>19.600000000000001</v>
      </c>
      <c r="P80" s="375">
        <f t="shared" si="6"/>
        <v>21.700000000000003</v>
      </c>
      <c r="Q80" s="375"/>
      <c r="R80" s="375">
        <v>2.1</v>
      </c>
      <c r="S80" s="527" t="s">
        <v>169</v>
      </c>
      <c r="T80" s="544">
        <v>1</v>
      </c>
      <c r="U80" s="521">
        <v>1</v>
      </c>
      <c r="V80" s="521">
        <v>1</v>
      </c>
      <c r="W80" s="540"/>
      <c r="X80" s="412" t="s">
        <v>662</v>
      </c>
      <c r="Y80" s="379" t="s">
        <v>752</v>
      </c>
      <c r="Z80" s="415" t="s">
        <v>180</v>
      </c>
      <c r="AA80" s="381" t="s">
        <v>182</v>
      </c>
      <c r="AB80" s="372" t="s">
        <v>181</v>
      </c>
      <c r="AC80" s="382"/>
    </row>
    <row r="81" spans="1:30" s="359" customFormat="1" x14ac:dyDescent="0.2">
      <c r="A81" s="371" t="s">
        <v>136</v>
      </c>
      <c r="B81" s="392" t="s">
        <v>46</v>
      </c>
      <c r="C81" s="371" t="s">
        <v>538</v>
      </c>
      <c r="D81" s="372" t="s">
        <v>187</v>
      </c>
      <c r="E81" s="373">
        <v>-42.5</v>
      </c>
      <c r="F81" s="374">
        <v>-70</v>
      </c>
      <c r="G81" s="398">
        <v>-43.088697283000002</v>
      </c>
      <c r="H81" s="390">
        <v>-56.4805780927</v>
      </c>
      <c r="I81" s="391">
        <v>-49.960824601799999</v>
      </c>
      <c r="J81" s="390">
        <v>-58.9554981721</v>
      </c>
      <c r="K81" s="426">
        <f t="shared" si="4"/>
        <v>-6.8721273187999969</v>
      </c>
      <c r="L81" s="375">
        <v>2.2000000000000002</v>
      </c>
      <c r="M81" s="375"/>
      <c r="N81" s="375">
        <f t="shared" si="5"/>
        <v>17.100000000000001</v>
      </c>
      <c r="O81" s="376">
        <v>19.3</v>
      </c>
      <c r="P81" s="375">
        <f t="shared" si="6"/>
        <v>21.5</v>
      </c>
      <c r="Q81" s="375"/>
      <c r="R81" s="375">
        <v>2.2000000000000002</v>
      </c>
      <c r="S81" s="527" t="s">
        <v>170</v>
      </c>
      <c r="T81" s="544">
        <v>1</v>
      </c>
      <c r="U81" s="521">
        <v>1</v>
      </c>
      <c r="V81" s="521">
        <v>1</v>
      </c>
      <c r="W81" s="540"/>
      <c r="X81" s="412" t="s">
        <v>662</v>
      </c>
      <c r="Y81" s="379" t="s">
        <v>752</v>
      </c>
      <c r="Z81" s="415" t="s">
        <v>180</v>
      </c>
      <c r="AA81" s="381" t="s">
        <v>182</v>
      </c>
      <c r="AB81" s="372" t="s">
        <v>181</v>
      </c>
      <c r="AC81" s="382"/>
    </row>
    <row r="82" spans="1:30" s="359" customFormat="1" x14ac:dyDescent="0.2">
      <c r="A82" s="369" t="s">
        <v>196</v>
      </c>
      <c r="B82" s="397" t="s">
        <v>52</v>
      </c>
      <c r="C82" s="369" t="s">
        <v>540</v>
      </c>
      <c r="D82" s="372" t="s">
        <v>187</v>
      </c>
      <c r="E82" s="398">
        <v>-63.18</v>
      </c>
      <c r="F82" s="390">
        <v>135.59</v>
      </c>
      <c r="G82" s="398">
        <v>-66.351678704899996</v>
      </c>
      <c r="H82" s="390">
        <v>129.15595603099999</v>
      </c>
      <c r="I82" s="391">
        <v>-57.867748416600001</v>
      </c>
      <c r="J82" s="390">
        <v>144.415314532</v>
      </c>
      <c r="K82" s="426">
        <f t="shared" si="4"/>
        <v>8.4839302882999945</v>
      </c>
      <c r="L82" s="375">
        <v>5.1738670257361656</v>
      </c>
      <c r="M82" s="405">
        <v>16.03</v>
      </c>
      <c r="N82" s="405">
        <v>18.649999999999999</v>
      </c>
      <c r="O82" s="406">
        <v>20.11</v>
      </c>
      <c r="P82" s="405">
        <v>21.58</v>
      </c>
      <c r="Q82" s="405">
        <v>21.48</v>
      </c>
      <c r="R82" s="375">
        <v>5.1738670257361656</v>
      </c>
      <c r="S82" s="527" t="s">
        <v>890</v>
      </c>
      <c r="T82" s="544">
        <v>1</v>
      </c>
      <c r="U82" s="521">
        <v>62</v>
      </c>
      <c r="V82" s="521">
        <v>0</v>
      </c>
      <c r="W82" s="540">
        <v>62</v>
      </c>
      <c r="X82" s="400" t="s">
        <v>677</v>
      </c>
      <c r="Y82" s="388" t="s">
        <v>184</v>
      </c>
      <c r="Z82" s="380" t="s">
        <v>33</v>
      </c>
      <c r="AA82" s="381" t="s">
        <v>38</v>
      </c>
      <c r="AB82" s="372" t="s">
        <v>33</v>
      </c>
      <c r="AC82" s="382" t="s">
        <v>644</v>
      </c>
    </row>
    <row r="83" spans="1:30" s="359" customFormat="1" x14ac:dyDescent="0.2">
      <c r="A83" s="369" t="s">
        <v>195</v>
      </c>
      <c r="B83" s="372" t="s">
        <v>52</v>
      </c>
      <c r="C83" s="369" t="s">
        <v>540</v>
      </c>
      <c r="D83" s="372" t="s">
        <v>187</v>
      </c>
      <c r="E83" s="398">
        <v>-63.18</v>
      </c>
      <c r="F83" s="390">
        <v>135.59</v>
      </c>
      <c r="G83" s="398">
        <v>-66.351678704899996</v>
      </c>
      <c r="H83" s="390">
        <v>129.15595603099999</v>
      </c>
      <c r="I83" s="391">
        <v>-57.867748416600001</v>
      </c>
      <c r="J83" s="390">
        <v>144.415314532</v>
      </c>
      <c r="K83" s="426">
        <f t="shared" si="4"/>
        <v>8.4839302882999945</v>
      </c>
      <c r="L83" s="375">
        <v>3.4223529917295208</v>
      </c>
      <c r="M83" s="405">
        <v>10.28</v>
      </c>
      <c r="N83" s="405">
        <v>13.52</v>
      </c>
      <c r="O83" s="406">
        <v>15.81</v>
      </c>
      <c r="P83" s="405">
        <v>18.09</v>
      </c>
      <c r="Q83" s="405">
        <v>21.57</v>
      </c>
      <c r="R83" s="375">
        <v>3.4223529917295208</v>
      </c>
      <c r="S83" s="529" t="s">
        <v>107</v>
      </c>
      <c r="T83" s="544">
        <v>1</v>
      </c>
      <c r="U83" s="521">
        <v>81</v>
      </c>
      <c r="V83" s="521">
        <v>81</v>
      </c>
      <c r="W83" s="540"/>
      <c r="X83" s="412" t="s">
        <v>661</v>
      </c>
      <c r="Y83" s="388" t="s">
        <v>184</v>
      </c>
      <c r="Z83" s="380"/>
      <c r="AA83" s="381" t="s">
        <v>16</v>
      </c>
      <c r="AB83" s="372" t="s">
        <v>16</v>
      </c>
      <c r="AC83" s="382"/>
    </row>
    <row r="84" spans="1:30" s="395" customFormat="1" x14ac:dyDescent="0.2">
      <c r="A84" s="369" t="s">
        <v>195</v>
      </c>
      <c r="B84" s="397" t="s">
        <v>52</v>
      </c>
      <c r="C84" s="369" t="s">
        <v>540</v>
      </c>
      <c r="D84" s="372" t="s">
        <v>187</v>
      </c>
      <c r="E84" s="398">
        <v>-63.18</v>
      </c>
      <c r="F84" s="390">
        <v>135.59</v>
      </c>
      <c r="G84" s="398">
        <v>-66.351678704899996</v>
      </c>
      <c r="H84" s="390">
        <v>129.15595603099999</v>
      </c>
      <c r="I84" s="391">
        <v>-57.867748416600001</v>
      </c>
      <c r="J84" s="390">
        <v>144.415314532</v>
      </c>
      <c r="K84" s="426">
        <f t="shared" si="4"/>
        <v>8.4839302882999945</v>
      </c>
      <c r="L84" s="375">
        <v>4.2</v>
      </c>
      <c r="M84" s="405">
        <v>17.2</v>
      </c>
      <c r="N84" s="405">
        <v>17.420000000000002</v>
      </c>
      <c r="O84" s="406">
        <v>18.41</v>
      </c>
      <c r="P84" s="405">
        <v>19.39</v>
      </c>
      <c r="Q84" s="405">
        <v>21.95</v>
      </c>
      <c r="R84" s="375">
        <v>4.5</v>
      </c>
      <c r="S84" s="529" t="s">
        <v>116</v>
      </c>
      <c r="T84" s="544">
        <v>1</v>
      </c>
      <c r="U84" s="521">
        <v>81</v>
      </c>
      <c r="V84" s="521">
        <v>81</v>
      </c>
      <c r="W84" s="540"/>
      <c r="X84" s="412" t="s">
        <v>661</v>
      </c>
      <c r="Y84" s="388" t="s">
        <v>184</v>
      </c>
      <c r="Z84" s="380"/>
      <c r="AA84" s="381" t="s">
        <v>16</v>
      </c>
      <c r="AB84" s="372" t="s">
        <v>16</v>
      </c>
      <c r="AC84" s="382"/>
    </row>
    <row r="85" spans="1:30" s="359" customFormat="1" x14ac:dyDescent="0.2">
      <c r="A85" s="369" t="s">
        <v>762</v>
      </c>
      <c r="B85" s="397" t="s">
        <v>763</v>
      </c>
      <c r="C85" s="369" t="s">
        <v>537</v>
      </c>
      <c r="D85" s="397" t="s">
        <v>187</v>
      </c>
      <c r="E85" s="373">
        <v>-42.15</v>
      </c>
      <c r="F85" s="374">
        <v>145.30000000000001</v>
      </c>
      <c r="G85" s="398">
        <v>-68.066259306800006</v>
      </c>
      <c r="H85" s="390">
        <v>150.86086493799999</v>
      </c>
      <c r="I85" s="391">
        <v>-58.347684874800002</v>
      </c>
      <c r="J85" s="390">
        <v>160.58088974500001</v>
      </c>
      <c r="K85" s="426">
        <f t="shared" si="4"/>
        <v>9.718574432000004</v>
      </c>
      <c r="L85" s="375">
        <v>3.3</v>
      </c>
      <c r="M85" s="375"/>
      <c r="N85" s="375">
        <f>O85-L85</f>
        <v>21</v>
      </c>
      <c r="O85" s="376">
        <v>24.3</v>
      </c>
      <c r="P85" s="375">
        <f>O85+R85</f>
        <v>27.6</v>
      </c>
      <c r="Q85" s="375"/>
      <c r="R85" s="375">
        <v>3.3</v>
      </c>
      <c r="S85" s="527" t="s">
        <v>689</v>
      </c>
      <c r="T85" s="544">
        <v>1</v>
      </c>
      <c r="U85" s="521">
        <v>1</v>
      </c>
      <c r="V85" s="521">
        <v>1</v>
      </c>
      <c r="W85" s="540"/>
      <c r="X85" s="412" t="s">
        <v>662</v>
      </c>
      <c r="Y85" s="388" t="s">
        <v>55</v>
      </c>
      <c r="Z85" s="381" t="s">
        <v>17</v>
      </c>
      <c r="AA85" s="381" t="s">
        <v>17</v>
      </c>
      <c r="AB85" s="372" t="s">
        <v>17</v>
      </c>
      <c r="AC85" s="382"/>
    </row>
    <row r="86" spans="1:30" s="359" customFormat="1" x14ac:dyDescent="0.2">
      <c r="A86" s="369" t="s">
        <v>762</v>
      </c>
      <c r="B86" s="397" t="s">
        <v>763</v>
      </c>
      <c r="C86" s="369" t="s">
        <v>537</v>
      </c>
      <c r="D86" s="372" t="s">
        <v>187</v>
      </c>
      <c r="E86" s="373">
        <v>-42.15</v>
      </c>
      <c r="F86" s="374">
        <v>145.30000000000001</v>
      </c>
      <c r="G86" s="398">
        <v>-68.066259306800006</v>
      </c>
      <c r="H86" s="390">
        <v>150.86086493799999</v>
      </c>
      <c r="I86" s="391">
        <v>-58.347684874800002</v>
      </c>
      <c r="J86" s="390">
        <v>160.58088974500001</v>
      </c>
      <c r="K86" s="426">
        <f t="shared" si="4"/>
        <v>9.718574432000004</v>
      </c>
      <c r="L86" s="375">
        <v>3.3</v>
      </c>
      <c r="M86" s="375"/>
      <c r="N86" s="375">
        <f>O86-L86</f>
        <v>19.7</v>
      </c>
      <c r="O86" s="376">
        <v>23</v>
      </c>
      <c r="P86" s="375">
        <f>O86+R86</f>
        <v>26.3</v>
      </c>
      <c r="Q86" s="375"/>
      <c r="R86" s="375">
        <v>3.3</v>
      </c>
      <c r="S86" s="531" t="s">
        <v>754</v>
      </c>
      <c r="T86" s="544">
        <v>1</v>
      </c>
      <c r="U86" s="521">
        <v>1</v>
      </c>
      <c r="V86" s="521">
        <v>1</v>
      </c>
      <c r="W86" s="540"/>
      <c r="X86" s="412" t="s">
        <v>662</v>
      </c>
      <c r="Y86" s="388" t="s">
        <v>55</v>
      </c>
      <c r="Z86" s="381" t="s">
        <v>17</v>
      </c>
      <c r="AA86" s="381" t="s">
        <v>17</v>
      </c>
      <c r="AB86" s="372" t="s">
        <v>17</v>
      </c>
      <c r="AC86" s="382"/>
    </row>
    <row r="87" spans="1:30" s="359" customFormat="1" x14ac:dyDescent="0.2">
      <c r="A87" s="369" t="s">
        <v>762</v>
      </c>
      <c r="B87" s="397" t="s">
        <v>763</v>
      </c>
      <c r="C87" s="369" t="s">
        <v>537</v>
      </c>
      <c r="D87" s="372" t="s">
        <v>187</v>
      </c>
      <c r="E87" s="373">
        <v>-42.15</v>
      </c>
      <c r="F87" s="374">
        <v>145.30000000000001</v>
      </c>
      <c r="G87" s="398">
        <v>-68.066259306800006</v>
      </c>
      <c r="H87" s="390">
        <v>150.86086493799999</v>
      </c>
      <c r="I87" s="391">
        <v>-58.347684874800002</v>
      </c>
      <c r="J87" s="390">
        <v>160.58088974500001</v>
      </c>
      <c r="K87" s="426">
        <f t="shared" si="4"/>
        <v>9.718574432000004</v>
      </c>
      <c r="L87" s="375">
        <v>1.8</v>
      </c>
      <c r="M87" s="375"/>
      <c r="N87" s="375">
        <f>O87-L87</f>
        <v>20.9</v>
      </c>
      <c r="O87" s="376">
        <v>22.7</v>
      </c>
      <c r="P87" s="375">
        <f>O87+R87</f>
        <v>24.5</v>
      </c>
      <c r="Q87" s="375"/>
      <c r="R87" s="375">
        <v>1.8</v>
      </c>
      <c r="S87" s="529" t="s">
        <v>116</v>
      </c>
      <c r="T87" s="544">
        <v>1</v>
      </c>
      <c r="U87" s="521">
        <v>1</v>
      </c>
      <c r="V87" s="521">
        <v>1</v>
      </c>
      <c r="W87" s="540"/>
      <c r="X87" s="412" t="s">
        <v>661</v>
      </c>
      <c r="Y87" s="388" t="s">
        <v>55</v>
      </c>
      <c r="Z87" s="380" t="s">
        <v>870</v>
      </c>
      <c r="AA87" s="381" t="s">
        <v>17</v>
      </c>
      <c r="AB87" s="372" t="s">
        <v>17</v>
      </c>
      <c r="AC87" s="382" t="s">
        <v>57</v>
      </c>
    </row>
    <row r="88" spans="1:30" s="359" customFormat="1" x14ac:dyDescent="0.2">
      <c r="A88" s="420" t="s">
        <v>39</v>
      </c>
      <c r="B88" s="590" t="s">
        <v>657</v>
      </c>
      <c r="C88" s="420" t="s">
        <v>540</v>
      </c>
      <c r="D88" s="421" t="s">
        <v>187</v>
      </c>
      <c r="E88" s="562">
        <v>-43.57</v>
      </c>
      <c r="F88" s="563">
        <v>149.55000000000001</v>
      </c>
      <c r="G88" s="562">
        <v>-68.308122512799997</v>
      </c>
      <c r="H88" s="563">
        <v>160.05896699600001</v>
      </c>
      <c r="I88" s="564">
        <v>-58.376584546499998</v>
      </c>
      <c r="J88" s="563">
        <v>167.10907550499999</v>
      </c>
      <c r="K88" s="493">
        <f t="shared" si="4"/>
        <v>9.9315379662999987</v>
      </c>
      <c r="L88" s="422">
        <v>5.1049877570862012</v>
      </c>
      <c r="M88" s="592">
        <v>21.23</v>
      </c>
      <c r="N88" s="592">
        <v>21.55</v>
      </c>
      <c r="O88" s="595">
        <v>21.95</v>
      </c>
      <c r="P88" s="592">
        <v>22.35</v>
      </c>
      <c r="Q88" s="592">
        <v>22.72</v>
      </c>
      <c r="R88" s="422">
        <v>5.1049877570862012</v>
      </c>
      <c r="S88" s="536" t="s">
        <v>889</v>
      </c>
      <c r="T88" s="546">
        <v>1</v>
      </c>
      <c r="U88" s="523">
        <v>9</v>
      </c>
      <c r="V88" s="523">
        <v>0</v>
      </c>
      <c r="W88" s="547">
        <v>9</v>
      </c>
      <c r="X88" s="585" t="s">
        <v>677</v>
      </c>
      <c r="Y88" s="600" t="s">
        <v>184</v>
      </c>
      <c r="Z88" s="423" t="s">
        <v>33</v>
      </c>
      <c r="AA88" s="424" t="s">
        <v>38</v>
      </c>
      <c r="AB88" s="421" t="s">
        <v>33</v>
      </c>
      <c r="AC88" s="425" t="s">
        <v>644</v>
      </c>
    </row>
    <row r="89" spans="1:30" s="359" customFormat="1" x14ac:dyDescent="0.2">
      <c r="A89" s="494"/>
      <c r="B89" s="495"/>
      <c r="C89" s="494"/>
      <c r="D89" s="495"/>
      <c r="E89" s="485"/>
      <c r="F89" s="486"/>
      <c r="G89" s="485"/>
      <c r="H89" s="486"/>
      <c r="I89" s="487"/>
      <c r="J89" s="486"/>
      <c r="K89" s="488"/>
      <c r="L89" s="477"/>
      <c r="M89" s="496"/>
      <c r="N89" s="496"/>
      <c r="O89" s="497"/>
      <c r="P89" s="496"/>
      <c r="Q89" s="496"/>
      <c r="R89" s="477"/>
      <c r="S89" s="533" t="s">
        <v>768</v>
      </c>
      <c r="T89" s="545">
        <f>COUNT(U8:U88)</f>
        <v>81</v>
      </c>
      <c r="U89" s="522">
        <f>SUM(U8:U88)</f>
        <v>458</v>
      </c>
      <c r="V89" s="522">
        <f>SUM(V8:V88)</f>
        <v>374</v>
      </c>
      <c r="W89" s="541">
        <f>SUM(W8:W88)</f>
        <v>84</v>
      </c>
      <c r="X89" s="480"/>
      <c r="Y89" s="498"/>
      <c r="Z89" s="499"/>
      <c r="AA89" s="500"/>
      <c r="AB89" s="495"/>
      <c r="AC89" s="501"/>
    </row>
    <row r="90" spans="1:30" s="395" customFormat="1" ht="15" x14ac:dyDescent="0.2">
      <c r="A90" s="369" t="s">
        <v>109</v>
      </c>
      <c r="B90" s="370" t="s">
        <v>56</v>
      </c>
      <c r="C90" s="371" t="s">
        <v>43</v>
      </c>
      <c r="D90" s="372" t="s">
        <v>188</v>
      </c>
      <c r="E90" s="373">
        <v>76</v>
      </c>
      <c r="F90" s="374">
        <v>141.80000000000001</v>
      </c>
      <c r="G90" s="398">
        <v>76.298450890500007</v>
      </c>
      <c r="H90" s="390">
        <v>126.23651627700001</v>
      </c>
      <c r="I90" s="391">
        <v>81.206981830000004</v>
      </c>
      <c r="J90" s="390">
        <v>85.354157029999996</v>
      </c>
      <c r="K90" s="426">
        <f t="shared" ref="K90:K106" si="7">I90-G90</f>
        <v>4.9085309394999967</v>
      </c>
      <c r="L90" s="399">
        <v>3.3</v>
      </c>
      <c r="M90" s="399"/>
      <c r="N90" s="375">
        <v>16</v>
      </c>
      <c r="O90" s="376">
        <v>18.75714285714286</v>
      </c>
      <c r="P90" s="375">
        <v>22.142857142857142</v>
      </c>
      <c r="Q90" s="375"/>
      <c r="R90" s="399">
        <v>3.3</v>
      </c>
      <c r="S90" s="578" t="s">
        <v>676</v>
      </c>
      <c r="T90" s="580">
        <v>1</v>
      </c>
      <c r="U90" s="582">
        <v>7</v>
      </c>
      <c r="V90" s="582">
        <v>7</v>
      </c>
      <c r="W90" s="583"/>
      <c r="X90" s="584" t="s">
        <v>661</v>
      </c>
      <c r="Y90" s="379" t="s">
        <v>752</v>
      </c>
      <c r="Z90" s="586"/>
      <c r="AA90" s="381" t="s">
        <v>18</v>
      </c>
      <c r="AB90" s="372" t="s">
        <v>18</v>
      </c>
      <c r="AC90" s="382"/>
      <c r="AD90" s="359"/>
    </row>
    <row r="91" spans="1:30" s="359" customFormat="1" x14ac:dyDescent="0.2">
      <c r="A91" s="369" t="s">
        <v>755</v>
      </c>
      <c r="B91" s="370" t="s">
        <v>756</v>
      </c>
      <c r="C91" s="371" t="s">
        <v>43</v>
      </c>
      <c r="D91" s="372" t="s">
        <v>188</v>
      </c>
      <c r="E91" s="398">
        <v>87.52</v>
      </c>
      <c r="F91" s="390">
        <v>136.1</v>
      </c>
      <c r="G91" s="398">
        <v>83.617792409800003</v>
      </c>
      <c r="H91" s="390">
        <v>69.084654588999996</v>
      </c>
      <c r="I91" s="391">
        <v>77.516845459999999</v>
      </c>
      <c r="J91" s="390">
        <v>22.1946166082</v>
      </c>
      <c r="K91" s="426">
        <f t="shared" si="7"/>
        <v>-6.1009469498000044</v>
      </c>
      <c r="L91" s="375">
        <v>5.0999999999999996</v>
      </c>
      <c r="M91" s="405">
        <v>18.03</v>
      </c>
      <c r="N91" s="405">
        <v>19.16</v>
      </c>
      <c r="O91" s="406">
        <v>19.93</v>
      </c>
      <c r="P91" s="405">
        <v>20.7</v>
      </c>
      <c r="Q91" s="405">
        <v>20.98</v>
      </c>
      <c r="R91" s="375">
        <v>5.0999999999999996</v>
      </c>
      <c r="S91" s="527" t="s">
        <v>889</v>
      </c>
      <c r="T91" s="544">
        <v>1</v>
      </c>
      <c r="U91" s="521">
        <v>15</v>
      </c>
      <c r="V91" s="521">
        <v>0</v>
      </c>
      <c r="W91" s="540">
        <v>15</v>
      </c>
      <c r="X91" s="378" t="s">
        <v>677</v>
      </c>
      <c r="Y91" s="379" t="s">
        <v>184</v>
      </c>
      <c r="Z91" s="380" t="s">
        <v>33</v>
      </c>
      <c r="AA91" s="381" t="s">
        <v>32</v>
      </c>
      <c r="AB91" s="372" t="s">
        <v>33</v>
      </c>
      <c r="AC91" s="382" t="s">
        <v>644</v>
      </c>
    </row>
    <row r="92" spans="1:30" s="359" customFormat="1" x14ac:dyDescent="0.2">
      <c r="A92" s="369" t="s">
        <v>664</v>
      </c>
      <c r="B92" s="370" t="s">
        <v>54</v>
      </c>
      <c r="C92" s="369" t="s">
        <v>43</v>
      </c>
      <c r="D92" s="397" t="s">
        <v>188</v>
      </c>
      <c r="E92" s="398">
        <v>56.841666666666669</v>
      </c>
      <c r="F92" s="390">
        <v>8.9916666666666671</v>
      </c>
      <c r="G92" s="398">
        <v>55.7755160293</v>
      </c>
      <c r="H92" s="390">
        <v>7.7830514824300003</v>
      </c>
      <c r="I92" s="391">
        <v>46.360134802700003</v>
      </c>
      <c r="J92" s="390">
        <v>8.86768966102</v>
      </c>
      <c r="K92" s="426">
        <f t="shared" si="7"/>
        <v>-9.4153812265999974</v>
      </c>
      <c r="L92" s="375">
        <v>5.2230259428802386</v>
      </c>
      <c r="M92" s="405">
        <v>17.899999999999999</v>
      </c>
      <c r="N92" s="405">
        <v>19.09</v>
      </c>
      <c r="O92" s="406">
        <v>20.98</v>
      </c>
      <c r="P92" s="405">
        <v>22.87</v>
      </c>
      <c r="Q92" s="405">
        <v>23.5</v>
      </c>
      <c r="R92" s="375">
        <v>5.2230259428802386</v>
      </c>
      <c r="S92" s="527" t="s">
        <v>889</v>
      </c>
      <c r="T92" s="544">
        <v>1</v>
      </c>
      <c r="U92" s="521">
        <v>6</v>
      </c>
      <c r="V92" s="521">
        <v>0</v>
      </c>
      <c r="W92" s="540">
        <v>6</v>
      </c>
      <c r="X92" s="378" t="s">
        <v>677</v>
      </c>
      <c r="Y92" s="379" t="s">
        <v>184</v>
      </c>
      <c r="Z92" s="380"/>
      <c r="AA92" s="381" t="s">
        <v>42</v>
      </c>
      <c r="AB92" s="372" t="s">
        <v>33</v>
      </c>
      <c r="AC92" s="382" t="s">
        <v>551</v>
      </c>
    </row>
    <row r="93" spans="1:30" s="359" customFormat="1" x14ac:dyDescent="0.2">
      <c r="A93" s="369" t="s">
        <v>30</v>
      </c>
      <c r="B93" s="370" t="s">
        <v>65</v>
      </c>
      <c r="C93" s="369" t="s">
        <v>43</v>
      </c>
      <c r="D93" s="397" t="s">
        <v>188</v>
      </c>
      <c r="E93" s="430">
        <v>44.77</v>
      </c>
      <c r="F93" s="431">
        <v>-107.13</v>
      </c>
      <c r="G93" s="398">
        <v>48.935906619400001</v>
      </c>
      <c r="H93" s="390">
        <v>-93.235678575799994</v>
      </c>
      <c r="I93" s="391">
        <v>46.216635031599999</v>
      </c>
      <c r="J93" s="390">
        <v>-77.491440956100007</v>
      </c>
      <c r="K93" s="426">
        <f t="shared" si="7"/>
        <v>-2.7192715878000016</v>
      </c>
      <c r="L93" s="375">
        <v>3.9749999999999996</v>
      </c>
      <c r="M93" s="375"/>
      <c r="N93" s="375">
        <f t="shared" ref="N93:N100" si="8">O93-L93</f>
        <v>34.225000000000001</v>
      </c>
      <c r="O93" s="376">
        <v>38.200000000000003</v>
      </c>
      <c r="P93" s="375">
        <f t="shared" ref="P93:P100" si="9">O93+R93</f>
        <v>42.175000000000004</v>
      </c>
      <c r="Q93" s="375"/>
      <c r="R93" s="375">
        <v>3.9749999999999996</v>
      </c>
      <c r="S93" s="527" t="s">
        <v>645</v>
      </c>
      <c r="T93" s="544">
        <v>1</v>
      </c>
      <c r="U93" s="521">
        <v>4</v>
      </c>
      <c r="V93" s="521">
        <v>4</v>
      </c>
      <c r="W93" s="540"/>
      <c r="X93" s="378" t="s">
        <v>887</v>
      </c>
      <c r="Y93" s="379" t="s">
        <v>752</v>
      </c>
      <c r="Z93" s="380" t="s">
        <v>646</v>
      </c>
      <c r="AA93" s="381" t="s">
        <v>647</v>
      </c>
      <c r="AB93" s="372"/>
      <c r="AC93" s="382" t="s">
        <v>648</v>
      </c>
    </row>
    <row r="94" spans="1:30" s="359" customFormat="1" x14ac:dyDescent="0.2">
      <c r="A94" s="369" t="s">
        <v>760</v>
      </c>
      <c r="B94" s="370" t="s">
        <v>65</v>
      </c>
      <c r="C94" s="371" t="s">
        <v>43</v>
      </c>
      <c r="D94" s="372" t="s">
        <v>188</v>
      </c>
      <c r="E94" s="398">
        <v>43.945079999999997</v>
      </c>
      <c r="F94" s="390">
        <v>-107.6187</v>
      </c>
      <c r="G94" s="398">
        <v>48.935906619400001</v>
      </c>
      <c r="H94" s="390">
        <v>-93.235678575799994</v>
      </c>
      <c r="I94" s="391">
        <v>46.216635031599999</v>
      </c>
      <c r="J94" s="390">
        <v>-77.491440956100007</v>
      </c>
      <c r="K94" s="426">
        <f t="shared" si="7"/>
        <v>-2.7192715878000016</v>
      </c>
      <c r="L94" s="375">
        <v>4</v>
      </c>
      <c r="M94" s="375"/>
      <c r="N94" s="375">
        <f t="shared" si="8"/>
        <v>16.3</v>
      </c>
      <c r="O94" s="376">
        <v>20.3</v>
      </c>
      <c r="P94" s="375">
        <f t="shared" si="9"/>
        <v>24.3</v>
      </c>
      <c r="Q94" s="375"/>
      <c r="R94" s="375">
        <v>4</v>
      </c>
      <c r="S94" s="527" t="s">
        <v>148</v>
      </c>
      <c r="T94" s="544">
        <v>1</v>
      </c>
      <c r="U94" s="521">
        <v>1</v>
      </c>
      <c r="V94" s="521">
        <v>1</v>
      </c>
      <c r="W94" s="540"/>
      <c r="X94" s="378" t="s">
        <v>662</v>
      </c>
      <c r="Y94" s="379" t="s">
        <v>752</v>
      </c>
      <c r="Z94" s="380" t="s">
        <v>565</v>
      </c>
      <c r="AA94" s="381" t="s">
        <v>565</v>
      </c>
      <c r="AB94" s="372"/>
      <c r="AC94" s="382"/>
    </row>
    <row r="95" spans="1:30" s="359" customFormat="1" x14ac:dyDescent="0.2">
      <c r="A95" s="369" t="s">
        <v>760</v>
      </c>
      <c r="B95" s="370" t="s">
        <v>65</v>
      </c>
      <c r="C95" s="371" t="s">
        <v>43</v>
      </c>
      <c r="D95" s="372" t="s">
        <v>188</v>
      </c>
      <c r="E95" s="398">
        <v>43.945079999999997</v>
      </c>
      <c r="F95" s="390">
        <v>-107.6187</v>
      </c>
      <c r="G95" s="398">
        <v>48.935906619400001</v>
      </c>
      <c r="H95" s="390">
        <v>-93.235678575799994</v>
      </c>
      <c r="I95" s="391">
        <v>46.216635031599999</v>
      </c>
      <c r="J95" s="390">
        <v>-77.491440956100007</v>
      </c>
      <c r="K95" s="426">
        <f t="shared" si="7"/>
        <v>-2.7192715878000016</v>
      </c>
      <c r="L95" s="375">
        <v>3.3</v>
      </c>
      <c r="M95" s="375"/>
      <c r="N95" s="375">
        <f t="shared" si="8"/>
        <v>16.899999999999999</v>
      </c>
      <c r="O95" s="376">
        <v>20.2</v>
      </c>
      <c r="P95" s="375">
        <f t="shared" si="9"/>
        <v>23.5</v>
      </c>
      <c r="Q95" s="375"/>
      <c r="R95" s="375">
        <v>3.3</v>
      </c>
      <c r="S95" s="527" t="s">
        <v>148</v>
      </c>
      <c r="T95" s="544">
        <v>1</v>
      </c>
      <c r="U95" s="521">
        <v>1</v>
      </c>
      <c r="V95" s="521">
        <v>1</v>
      </c>
      <c r="W95" s="540"/>
      <c r="X95" s="378" t="s">
        <v>662</v>
      </c>
      <c r="Y95" s="379" t="s">
        <v>752</v>
      </c>
      <c r="Z95" s="380" t="s">
        <v>565</v>
      </c>
      <c r="AA95" s="381" t="s">
        <v>565</v>
      </c>
      <c r="AB95" s="372"/>
      <c r="AC95" s="382"/>
    </row>
    <row r="96" spans="1:30" s="359" customFormat="1" x14ac:dyDescent="0.2">
      <c r="A96" s="369" t="s">
        <v>761</v>
      </c>
      <c r="B96" s="372" t="s">
        <v>65</v>
      </c>
      <c r="C96" s="371" t="s">
        <v>43</v>
      </c>
      <c r="D96" s="372" t="s">
        <v>188</v>
      </c>
      <c r="E96" s="398">
        <v>43.96</v>
      </c>
      <c r="F96" s="390">
        <v>-107.63</v>
      </c>
      <c r="G96" s="398">
        <v>48.935906619400001</v>
      </c>
      <c r="H96" s="390">
        <v>-93.235678575799994</v>
      </c>
      <c r="I96" s="391">
        <v>46.216635031599999</v>
      </c>
      <c r="J96" s="390">
        <v>-77.491440956100007</v>
      </c>
      <c r="K96" s="426">
        <f t="shared" si="7"/>
        <v>-2.7192715878000016</v>
      </c>
      <c r="L96" s="399">
        <v>3.1</v>
      </c>
      <c r="M96" s="399"/>
      <c r="N96" s="375">
        <f t="shared" si="8"/>
        <v>16.7</v>
      </c>
      <c r="O96" s="376">
        <v>19.8</v>
      </c>
      <c r="P96" s="375">
        <f t="shared" si="9"/>
        <v>22.900000000000002</v>
      </c>
      <c r="Q96" s="375"/>
      <c r="R96" s="399">
        <v>3.1</v>
      </c>
      <c r="S96" s="527" t="s">
        <v>113</v>
      </c>
      <c r="T96" s="544">
        <v>1</v>
      </c>
      <c r="U96" s="521">
        <v>1</v>
      </c>
      <c r="V96" s="521">
        <v>1</v>
      </c>
      <c r="W96" s="540"/>
      <c r="X96" s="378" t="s">
        <v>662</v>
      </c>
      <c r="Y96" s="379" t="s">
        <v>752</v>
      </c>
      <c r="Z96" s="380" t="s">
        <v>550</v>
      </c>
      <c r="AA96" s="381" t="s">
        <v>11</v>
      </c>
      <c r="AB96" s="372" t="s">
        <v>11</v>
      </c>
      <c r="AC96" s="382"/>
    </row>
    <row r="97" spans="1:30" s="359" customFormat="1" x14ac:dyDescent="0.2">
      <c r="A97" s="369" t="s">
        <v>760</v>
      </c>
      <c r="B97" s="370" t="s">
        <v>65</v>
      </c>
      <c r="C97" s="371" t="s">
        <v>43</v>
      </c>
      <c r="D97" s="372" t="s">
        <v>188</v>
      </c>
      <c r="E97" s="398">
        <v>43.945079999999997</v>
      </c>
      <c r="F97" s="390">
        <v>-107.6187</v>
      </c>
      <c r="G97" s="398">
        <v>48.935906619400001</v>
      </c>
      <c r="H97" s="390">
        <v>-93.235678575799994</v>
      </c>
      <c r="I97" s="391">
        <v>46.216635031599999</v>
      </c>
      <c r="J97" s="390">
        <v>-77.491440956100007</v>
      </c>
      <c r="K97" s="426">
        <f t="shared" si="7"/>
        <v>-2.7192715878000016</v>
      </c>
      <c r="L97" s="375">
        <v>3.34</v>
      </c>
      <c r="M97" s="375"/>
      <c r="N97" s="375">
        <f t="shared" si="8"/>
        <v>17.75</v>
      </c>
      <c r="O97" s="376">
        <v>21.09</v>
      </c>
      <c r="P97" s="375">
        <f t="shared" si="9"/>
        <v>24.43</v>
      </c>
      <c r="Q97" s="375"/>
      <c r="R97" s="375">
        <v>3.34</v>
      </c>
      <c r="S97" s="527" t="s">
        <v>556</v>
      </c>
      <c r="T97" s="544">
        <v>1</v>
      </c>
      <c r="U97" s="521">
        <v>1</v>
      </c>
      <c r="V97" s="521">
        <v>1</v>
      </c>
      <c r="W97" s="540"/>
      <c r="X97" s="378" t="s">
        <v>662</v>
      </c>
      <c r="Y97" s="379" t="s">
        <v>752</v>
      </c>
      <c r="Z97" s="380" t="s">
        <v>557</v>
      </c>
      <c r="AA97" s="381" t="s">
        <v>558</v>
      </c>
      <c r="AB97" s="372" t="s">
        <v>559</v>
      </c>
      <c r="AC97" s="382"/>
    </row>
    <row r="98" spans="1:30" s="359" customFormat="1" x14ac:dyDescent="0.2">
      <c r="A98" s="369" t="s">
        <v>760</v>
      </c>
      <c r="B98" s="370" t="s">
        <v>65</v>
      </c>
      <c r="C98" s="371" t="s">
        <v>43</v>
      </c>
      <c r="D98" s="372" t="s">
        <v>188</v>
      </c>
      <c r="E98" s="398">
        <v>43.945079999999997</v>
      </c>
      <c r="F98" s="390">
        <v>-107.6187</v>
      </c>
      <c r="G98" s="398">
        <v>48.935906619400001</v>
      </c>
      <c r="H98" s="390">
        <v>-93.235678575799994</v>
      </c>
      <c r="I98" s="391">
        <v>46.216635031599999</v>
      </c>
      <c r="J98" s="390">
        <v>-77.491440956100007</v>
      </c>
      <c r="K98" s="426">
        <f t="shared" si="7"/>
        <v>-2.7192715878000016</v>
      </c>
      <c r="L98" s="375">
        <v>2.67</v>
      </c>
      <c r="M98" s="375"/>
      <c r="N98" s="375">
        <f t="shared" si="8"/>
        <v>16.490000000000002</v>
      </c>
      <c r="O98" s="376">
        <v>19.16</v>
      </c>
      <c r="P98" s="375">
        <f t="shared" si="9"/>
        <v>21.83</v>
      </c>
      <c r="Q98" s="375"/>
      <c r="R98" s="375">
        <v>2.67</v>
      </c>
      <c r="S98" s="527" t="s">
        <v>560</v>
      </c>
      <c r="T98" s="544">
        <v>1</v>
      </c>
      <c r="U98" s="521">
        <v>1</v>
      </c>
      <c r="V98" s="521">
        <v>1</v>
      </c>
      <c r="W98" s="540"/>
      <c r="X98" s="378" t="s">
        <v>662</v>
      </c>
      <c r="Y98" s="379" t="s">
        <v>752</v>
      </c>
      <c r="Z98" s="380" t="s">
        <v>561</v>
      </c>
      <c r="AA98" s="381" t="s">
        <v>558</v>
      </c>
      <c r="AB98" s="372" t="s">
        <v>559</v>
      </c>
      <c r="AC98" s="382"/>
    </row>
    <row r="99" spans="1:30" s="395" customFormat="1" x14ac:dyDescent="0.2">
      <c r="A99" s="369" t="s">
        <v>760</v>
      </c>
      <c r="B99" s="370" t="s">
        <v>65</v>
      </c>
      <c r="C99" s="371" t="s">
        <v>43</v>
      </c>
      <c r="D99" s="372" t="s">
        <v>188</v>
      </c>
      <c r="E99" s="398">
        <v>43.945079999999997</v>
      </c>
      <c r="F99" s="390">
        <v>-107.6187</v>
      </c>
      <c r="G99" s="398">
        <v>48.935906619400001</v>
      </c>
      <c r="H99" s="390">
        <v>-93.235678575799994</v>
      </c>
      <c r="I99" s="391">
        <v>46.216635031599999</v>
      </c>
      <c r="J99" s="390">
        <v>-77.491440956100007</v>
      </c>
      <c r="K99" s="426">
        <f t="shared" si="7"/>
        <v>-2.7192715878000016</v>
      </c>
      <c r="L99" s="375">
        <v>3.97</v>
      </c>
      <c r="M99" s="375"/>
      <c r="N99" s="375">
        <f t="shared" si="8"/>
        <v>21.92</v>
      </c>
      <c r="O99" s="376">
        <v>25.89</v>
      </c>
      <c r="P99" s="375">
        <f t="shared" si="9"/>
        <v>29.86</v>
      </c>
      <c r="Q99" s="375"/>
      <c r="R99" s="375">
        <v>3.97</v>
      </c>
      <c r="S99" s="527" t="s">
        <v>562</v>
      </c>
      <c r="T99" s="544">
        <v>1</v>
      </c>
      <c r="U99" s="521">
        <v>1</v>
      </c>
      <c r="V99" s="521">
        <v>1</v>
      </c>
      <c r="W99" s="540"/>
      <c r="X99" s="378" t="s">
        <v>662</v>
      </c>
      <c r="Y99" s="379" t="s">
        <v>752</v>
      </c>
      <c r="Z99" s="380" t="s">
        <v>563</v>
      </c>
      <c r="AA99" s="381" t="s">
        <v>558</v>
      </c>
      <c r="AB99" s="372" t="s">
        <v>559</v>
      </c>
      <c r="AC99" s="382"/>
      <c r="AD99" s="359"/>
    </row>
    <row r="100" spans="1:30" s="396" customFormat="1" x14ac:dyDescent="0.2">
      <c r="A100" s="369" t="s">
        <v>760</v>
      </c>
      <c r="B100" s="370" t="s">
        <v>65</v>
      </c>
      <c r="C100" s="371" t="s">
        <v>43</v>
      </c>
      <c r="D100" s="372" t="s">
        <v>188</v>
      </c>
      <c r="E100" s="398">
        <v>43.945079999999997</v>
      </c>
      <c r="F100" s="390">
        <v>-107.6187</v>
      </c>
      <c r="G100" s="398">
        <v>48.935906619400001</v>
      </c>
      <c r="H100" s="390">
        <v>-93.235678575799994</v>
      </c>
      <c r="I100" s="391">
        <v>46.216635031599999</v>
      </c>
      <c r="J100" s="390">
        <v>-77.491440956100007</v>
      </c>
      <c r="K100" s="426">
        <f t="shared" si="7"/>
        <v>-2.7192715878000016</v>
      </c>
      <c r="L100" s="375">
        <v>2.23</v>
      </c>
      <c r="M100" s="375"/>
      <c r="N100" s="375">
        <f t="shared" si="8"/>
        <v>15.669999999999998</v>
      </c>
      <c r="O100" s="376">
        <v>17.899999999999999</v>
      </c>
      <c r="P100" s="375">
        <f t="shared" si="9"/>
        <v>20.13</v>
      </c>
      <c r="Q100" s="375"/>
      <c r="R100" s="375">
        <v>2.23</v>
      </c>
      <c r="S100" s="527" t="s">
        <v>564</v>
      </c>
      <c r="T100" s="544">
        <v>1</v>
      </c>
      <c r="U100" s="521">
        <v>1</v>
      </c>
      <c r="V100" s="521">
        <v>1</v>
      </c>
      <c r="W100" s="540"/>
      <c r="X100" s="378" t="s">
        <v>662</v>
      </c>
      <c r="Y100" s="379" t="s">
        <v>752</v>
      </c>
      <c r="Z100" s="380" t="s">
        <v>565</v>
      </c>
      <c r="AA100" s="381" t="s">
        <v>580</v>
      </c>
      <c r="AB100" s="372" t="s">
        <v>559</v>
      </c>
      <c r="AC100" s="382"/>
    </row>
    <row r="101" spans="1:30" s="359" customFormat="1" x14ac:dyDescent="0.2">
      <c r="A101" s="369" t="s">
        <v>665</v>
      </c>
      <c r="B101" s="370" t="s">
        <v>54</v>
      </c>
      <c r="C101" s="369" t="s">
        <v>43</v>
      </c>
      <c r="D101" s="397" t="s">
        <v>188</v>
      </c>
      <c r="E101" s="398">
        <v>55.333333333333336</v>
      </c>
      <c r="F101" s="390">
        <v>11.083333333333334</v>
      </c>
      <c r="G101" s="398">
        <v>54.290740210999999</v>
      </c>
      <c r="H101" s="390">
        <v>9.8713567788999992</v>
      </c>
      <c r="I101" s="391">
        <v>44.995609223999999</v>
      </c>
      <c r="J101" s="390">
        <v>10.7743898487</v>
      </c>
      <c r="K101" s="426">
        <f t="shared" si="7"/>
        <v>-9.2951309870000003</v>
      </c>
      <c r="L101" s="375">
        <v>5.0531734489092992</v>
      </c>
      <c r="M101" s="405">
        <v>17.73</v>
      </c>
      <c r="N101" s="405">
        <v>18.010000000000002</v>
      </c>
      <c r="O101" s="406">
        <v>19.03</v>
      </c>
      <c r="P101" s="405">
        <v>20.05</v>
      </c>
      <c r="Q101" s="405">
        <v>20.45</v>
      </c>
      <c r="R101" s="375">
        <v>5.0531734489092992</v>
      </c>
      <c r="S101" s="527" t="s">
        <v>889</v>
      </c>
      <c r="T101" s="544">
        <v>1</v>
      </c>
      <c r="U101" s="521">
        <v>1</v>
      </c>
      <c r="V101" s="521">
        <v>1</v>
      </c>
      <c r="W101" s="540"/>
      <c r="X101" s="378" t="s">
        <v>677</v>
      </c>
      <c r="Y101" s="379" t="s">
        <v>752</v>
      </c>
      <c r="Z101" s="380"/>
      <c r="AA101" s="381" t="s">
        <v>42</v>
      </c>
      <c r="AB101" s="372" t="s">
        <v>33</v>
      </c>
      <c r="AC101" s="382" t="s">
        <v>551</v>
      </c>
    </row>
    <row r="102" spans="1:30" s="396" customFormat="1" x14ac:dyDescent="0.2">
      <c r="A102" s="369" t="s">
        <v>34</v>
      </c>
      <c r="B102" s="370" t="s">
        <v>97</v>
      </c>
      <c r="C102" s="369" t="s">
        <v>43</v>
      </c>
      <c r="D102" s="397" t="s">
        <v>188</v>
      </c>
      <c r="E102" s="373">
        <f>32+15/60</f>
        <v>32.25</v>
      </c>
      <c r="F102" s="374">
        <f>-88-43/60</f>
        <v>-88.716666666666669</v>
      </c>
      <c r="G102" s="398">
        <v>35.713172898800003</v>
      </c>
      <c r="H102" s="390">
        <v>-74.846073195499997</v>
      </c>
      <c r="I102" s="391">
        <v>30.4704155909</v>
      </c>
      <c r="J102" s="390">
        <v>-64.096915780399996</v>
      </c>
      <c r="K102" s="426">
        <f t="shared" si="7"/>
        <v>-5.2427573079000034</v>
      </c>
      <c r="L102" s="375"/>
      <c r="M102" s="427" t="s">
        <v>741</v>
      </c>
      <c r="N102" s="427" t="s">
        <v>742</v>
      </c>
      <c r="O102" s="428" t="s">
        <v>739</v>
      </c>
      <c r="P102" s="427" t="s">
        <v>743</v>
      </c>
      <c r="Q102" s="427" t="s">
        <v>744</v>
      </c>
      <c r="R102" s="375"/>
      <c r="S102" s="527" t="s">
        <v>889</v>
      </c>
      <c r="T102" s="544">
        <v>1</v>
      </c>
      <c r="U102" s="521">
        <v>12</v>
      </c>
      <c r="V102" s="521">
        <v>0</v>
      </c>
      <c r="W102" s="540">
        <v>12</v>
      </c>
      <c r="X102" s="412" t="s">
        <v>677</v>
      </c>
      <c r="Y102" s="379" t="s">
        <v>184</v>
      </c>
      <c r="Z102" s="380"/>
      <c r="AA102" s="381" t="s">
        <v>35</v>
      </c>
      <c r="AB102" s="372" t="s">
        <v>33</v>
      </c>
      <c r="AC102" s="382" t="s">
        <v>659</v>
      </c>
      <c r="AD102" s="359"/>
    </row>
    <row r="103" spans="1:30" s="396" customFormat="1" x14ac:dyDescent="0.2">
      <c r="A103" s="369" t="s">
        <v>40</v>
      </c>
      <c r="B103" s="370" t="s">
        <v>49</v>
      </c>
      <c r="C103" s="369" t="s">
        <v>43</v>
      </c>
      <c r="D103" s="372" t="s">
        <v>188</v>
      </c>
      <c r="E103" s="408">
        <v>-43.068190000000001</v>
      </c>
      <c r="F103" s="409">
        <v>172.74089799999999</v>
      </c>
      <c r="G103" s="398">
        <v>-54.897598248599998</v>
      </c>
      <c r="H103" s="390">
        <v>-160.07237513000001</v>
      </c>
      <c r="I103" s="391">
        <v>-46.287592380500001</v>
      </c>
      <c r="J103" s="390">
        <v>-161.05674278699999</v>
      </c>
      <c r="K103" s="426">
        <f t="shared" si="7"/>
        <v>8.6100058680999965</v>
      </c>
      <c r="L103" s="375">
        <v>5.7723491636567292</v>
      </c>
      <c r="M103" s="405">
        <v>19.690000000000001</v>
      </c>
      <c r="N103" s="405">
        <v>19.690000000000001</v>
      </c>
      <c r="O103" s="406">
        <v>21.16</v>
      </c>
      <c r="P103" s="405">
        <v>22.64</v>
      </c>
      <c r="Q103" s="405">
        <v>22.64</v>
      </c>
      <c r="R103" s="375">
        <v>5.7723491636567292</v>
      </c>
      <c r="S103" s="527" t="s">
        <v>890</v>
      </c>
      <c r="T103" s="544">
        <v>1</v>
      </c>
      <c r="U103" s="521">
        <v>2</v>
      </c>
      <c r="V103" s="521">
        <v>0</v>
      </c>
      <c r="W103" s="540">
        <v>2</v>
      </c>
      <c r="X103" s="412" t="s">
        <v>677</v>
      </c>
      <c r="Y103" s="379" t="s">
        <v>184</v>
      </c>
      <c r="Z103" s="380" t="s">
        <v>33</v>
      </c>
      <c r="AA103" s="381" t="s">
        <v>15</v>
      </c>
      <c r="AB103" s="372" t="s">
        <v>33</v>
      </c>
      <c r="AC103" s="382" t="s">
        <v>644</v>
      </c>
      <c r="AD103" s="359"/>
    </row>
    <row r="104" spans="1:30" s="396" customFormat="1" x14ac:dyDescent="0.2">
      <c r="A104" s="416" t="s">
        <v>102</v>
      </c>
      <c r="B104" s="370" t="s">
        <v>49</v>
      </c>
      <c r="C104" s="411" t="s">
        <v>43</v>
      </c>
      <c r="D104" s="392" t="s">
        <v>188</v>
      </c>
      <c r="E104" s="417">
        <v>-44.5</v>
      </c>
      <c r="F104" s="284">
        <v>170.9</v>
      </c>
      <c r="G104" s="398">
        <v>-56.240647967500003</v>
      </c>
      <c r="H104" s="390">
        <v>-162.58178140300001</v>
      </c>
      <c r="I104" s="391">
        <v>-47.425977227099999</v>
      </c>
      <c r="J104" s="390">
        <v>-163.37846858099999</v>
      </c>
      <c r="K104" s="426">
        <f t="shared" si="7"/>
        <v>8.814670740400004</v>
      </c>
      <c r="L104" s="375">
        <v>2</v>
      </c>
      <c r="M104" s="375"/>
      <c r="N104" s="375">
        <f>O104-L104</f>
        <v>17.8</v>
      </c>
      <c r="O104" s="376">
        <v>19.8</v>
      </c>
      <c r="P104" s="375">
        <f>O104+R104</f>
        <v>21.8</v>
      </c>
      <c r="Q104" s="375"/>
      <c r="R104" s="375">
        <v>2</v>
      </c>
      <c r="S104" s="534" t="s">
        <v>108</v>
      </c>
      <c r="T104" s="544">
        <v>1</v>
      </c>
      <c r="U104" s="521">
        <v>1</v>
      </c>
      <c r="V104" s="521">
        <v>1</v>
      </c>
      <c r="W104" s="540"/>
      <c r="X104" s="412" t="s">
        <v>662</v>
      </c>
      <c r="Y104" s="379" t="s">
        <v>55</v>
      </c>
      <c r="Z104" s="393" t="s">
        <v>145</v>
      </c>
      <c r="AA104" s="418" t="s">
        <v>103</v>
      </c>
      <c r="AB104" s="429" t="s">
        <v>7</v>
      </c>
      <c r="AC104" s="419" t="s">
        <v>62</v>
      </c>
      <c r="AD104" s="359"/>
    </row>
    <row r="105" spans="1:30" s="359" customFormat="1" x14ac:dyDescent="0.2">
      <c r="A105" s="411" t="s">
        <v>102</v>
      </c>
      <c r="B105" s="370" t="s">
        <v>49</v>
      </c>
      <c r="C105" s="411" t="s">
        <v>43</v>
      </c>
      <c r="D105" s="392" t="s">
        <v>188</v>
      </c>
      <c r="E105" s="417">
        <v>-44.5</v>
      </c>
      <c r="F105" s="284">
        <v>170.9</v>
      </c>
      <c r="G105" s="398">
        <v>-56.240647967500003</v>
      </c>
      <c r="H105" s="390">
        <v>-162.58178140300001</v>
      </c>
      <c r="I105" s="391">
        <v>-47.425977227099999</v>
      </c>
      <c r="J105" s="390">
        <v>-163.37846858099999</v>
      </c>
      <c r="K105" s="426">
        <f t="shared" si="7"/>
        <v>8.814670740400004</v>
      </c>
      <c r="L105" s="399"/>
      <c r="M105" s="399"/>
      <c r="N105" s="375">
        <f>O105-L105</f>
        <v>16</v>
      </c>
      <c r="O105" s="376">
        <v>16</v>
      </c>
      <c r="P105" s="375">
        <f>O105+R105</f>
        <v>16</v>
      </c>
      <c r="Q105" s="375"/>
      <c r="R105" s="399"/>
      <c r="S105" s="532" t="s">
        <v>107</v>
      </c>
      <c r="T105" s="544">
        <v>1</v>
      </c>
      <c r="U105" s="521">
        <v>1</v>
      </c>
      <c r="V105" s="521">
        <v>1</v>
      </c>
      <c r="W105" s="540"/>
      <c r="X105" s="412" t="s">
        <v>661</v>
      </c>
      <c r="Y105" s="379" t="s">
        <v>55</v>
      </c>
      <c r="Z105" s="415" t="s">
        <v>640</v>
      </c>
      <c r="AA105" s="414" t="s">
        <v>15</v>
      </c>
      <c r="AB105" s="392"/>
      <c r="AC105" s="419"/>
    </row>
    <row r="106" spans="1:30" s="359" customFormat="1" x14ac:dyDescent="0.2">
      <c r="A106" s="575" t="s">
        <v>102</v>
      </c>
      <c r="B106" s="576" t="s">
        <v>49</v>
      </c>
      <c r="C106" s="575" t="s">
        <v>43</v>
      </c>
      <c r="D106" s="576" t="s">
        <v>188</v>
      </c>
      <c r="E106" s="465">
        <v>-44.5</v>
      </c>
      <c r="F106" s="466">
        <v>170.9</v>
      </c>
      <c r="G106" s="562">
        <v>-56.240647967500003</v>
      </c>
      <c r="H106" s="563">
        <v>-162.58178140300001</v>
      </c>
      <c r="I106" s="564">
        <v>-47.425977227099999</v>
      </c>
      <c r="J106" s="563">
        <v>-163.37846858099999</v>
      </c>
      <c r="K106" s="493">
        <f t="shared" si="7"/>
        <v>8.814670740400004</v>
      </c>
      <c r="L106" s="467"/>
      <c r="M106" s="467"/>
      <c r="N106" s="422">
        <f>O106-L106</f>
        <v>17.399999999999999</v>
      </c>
      <c r="O106" s="577">
        <v>17.399999999999999</v>
      </c>
      <c r="P106" s="422">
        <f>O106+R106</f>
        <v>17.399999999999999</v>
      </c>
      <c r="Q106" s="422"/>
      <c r="R106" s="467"/>
      <c r="S106" s="579" t="s">
        <v>116</v>
      </c>
      <c r="T106" s="581">
        <v>1</v>
      </c>
      <c r="U106" s="523">
        <v>1</v>
      </c>
      <c r="V106" s="523">
        <v>1</v>
      </c>
      <c r="W106" s="547"/>
      <c r="X106" s="585" t="s">
        <v>661</v>
      </c>
      <c r="Y106" s="468" t="s">
        <v>55</v>
      </c>
      <c r="Z106" s="587" t="s">
        <v>641</v>
      </c>
      <c r="AA106" s="588" t="s">
        <v>15</v>
      </c>
      <c r="AB106" s="576"/>
      <c r="AC106" s="589"/>
    </row>
    <row r="107" spans="1:30" s="359" customFormat="1" x14ac:dyDescent="0.2">
      <c r="A107" s="474"/>
      <c r="B107" s="475"/>
      <c r="C107" s="474"/>
      <c r="D107" s="475"/>
      <c r="E107" s="483"/>
      <c r="F107" s="484"/>
      <c r="G107" s="485"/>
      <c r="H107" s="486"/>
      <c r="I107" s="487"/>
      <c r="J107" s="486"/>
      <c r="K107" s="488"/>
      <c r="L107" s="476"/>
      <c r="M107" s="476"/>
      <c r="N107" s="477"/>
      <c r="O107" s="478"/>
      <c r="P107" s="477"/>
      <c r="Q107" s="477"/>
      <c r="R107" s="476"/>
      <c r="S107" s="535" t="s">
        <v>767</v>
      </c>
      <c r="T107" s="545">
        <f>COUNT(U90:U106)</f>
        <v>17</v>
      </c>
      <c r="U107" s="522">
        <f>SUM(U90:U106)</f>
        <v>57</v>
      </c>
      <c r="V107" s="522">
        <f>SUM(V90:V106)</f>
        <v>22</v>
      </c>
      <c r="W107" s="541">
        <f>SUM(W90:W106)</f>
        <v>35</v>
      </c>
      <c r="X107" s="480"/>
      <c r="Y107" s="489"/>
      <c r="Z107" s="481"/>
      <c r="AA107" s="479"/>
      <c r="AB107" s="475"/>
      <c r="AC107" s="482"/>
    </row>
    <row r="108" spans="1:30" s="359" customFormat="1" x14ac:dyDescent="0.2">
      <c r="A108" s="369" t="s">
        <v>755</v>
      </c>
      <c r="B108" s="370" t="s">
        <v>756</v>
      </c>
      <c r="C108" s="371" t="s">
        <v>643</v>
      </c>
      <c r="D108" s="372" t="s">
        <v>186</v>
      </c>
      <c r="E108" s="398">
        <v>87.52</v>
      </c>
      <c r="F108" s="390">
        <v>136.1</v>
      </c>
      <c r="G108" s="398">
        <v>83.617792409800003</v>
      </c>
      <c r="H108" s="390">
        <v>69.084654588999996</v>
      </c>
      <c r="I108" s="391">
        <v>77.516845459999999</v>
      </c>
      <c r="J108" s="390">
        <v>22.1946166082</v>
      </c>
      <c r="K108" s="426">
        <f>I108-G108</f>
        <v>-6.1009469498000044</v>
      </c>
      <c r="L108" s="375">
        <v>5</v>
      </c>
      <c r="M108" s="405">
        <v>14.67</v>
      </c>
      <c r="N108" s="405">
        <v>15</v>
      </c>
      <c r="O108" s="406">
        <v>15.36</v>
      </c>
      <c r="P108" s="405">
        <v>15.72</v>
      </c>
      <c r="Q108" s="405">
        <v>15.88</v>
      </c>
      <c r="R108" s="375">
        <v>5</v>
      </c>
      <c r="S108" s="527" t="s">
        <v>889</v>
      </c>
      <c r="T108" s="544">
        <v>1</v>
      </c>
      <c r="U108" s="521">
        <v>11</v>
      </c>
      <c r="V108" s="521">
        <v>0</v>
      </c>
      <c r="W108" s="540">
        <v>11</v>
      </c>
      <c r="X108" s="378" t="s">
        <v>677</v>
      </c>
      <c r="Y108" s="379" t="s">
        <v>184</v>
      </c>
      <c r="Z108" s="380" t="s">
        <v>33</v>
      </c>
      <c r="AA108" s="381" t="s">
        <v>32</v>
      </c>
      <c r="AB108" s="372" t="s">
        <v>33</v>
      </c>
      <c r="AC108" s="382" t="s">
        <v>644</v>
      </c>
    </row>
    <row r="109" spans="1:30" s="359" customFormat="1" x14ac:dyDescent="0.2">
      <c r="A109" s="369" t="s">
        <v>664</v>
      </c>
      <c r="B109" s="370" t="s">
        <v>54</v>
      </c>
      <c r="C109" s="369" t="s">
        <v>41</v>
      </c>
      <c r="D109" s="397" t="s">
        <v>186</v>
      </c>
      <c r="E109" s="398">
        <v>56.841666666666669</v>
      </c>
      <c r="F109" s="390">
        <v>8.9916666666666671</v>
      </c>
      <c r="G109" s="398">
        <v>55.7755160293</v>
      </c>
      <c r="H109" s="390">
        <v>7.7830514824300003</v>
      </c>
      <c r="I109" s="391">
        <v>46.360134802700003</v>
      </c>
      <c r="J109" s="390">
        <v>8.86768966102</v>
      </c>
      <c r="K109" s="426">
        <f>I109-G109</f>
        <v>-9.4153812265999974</v>
      </c>
      <c r="L109" s="375">
        <v>5.2230259428802386</v>
      </c>
      <c r="M109" s="405">
        <v>16</v>
      </c>
      <c r="N109" s="405">
        <v>16.37</v>
      </c>
      <c r="O109" s="406">
        <v>17.600000000000001</v>
      </c>
      <c r="P109" s="405">
        <v>18.829999999999998</v>
      </c>
      <c r="Q109" s="405">
        <v>19</v>
      </c>
      <c r="R109" s="375">
        <v>5.2230259428802386</v>
      </c>
      <c r="S109" s="527" t="s">
        <v>889</v>
      </c>
      <c r="T109" s="544">
        <v>1</v>
      </c>
      <c r="U109" s="521">
        <v>3</v>
      </c>
      <c r="V109" s="521">
        <v>0</v>
      </c>
      <c r="W109" s="540">
        <v>3</v>
      </c>
      <c r="X109" s="378" t="s">
        <v>677</v>
      </c>
      <c r="Y109" s="379" t="s">
        <v>184</v>
      </c>
      <c r="Z109" s="380"/>
      <c r="AA109" s="381" t="s">
        <v>42</v>
      </c>
      <c r="AB109" s="372" t="s">
        <v>33</v>
      </c>
      <c r="AC109" s="382" t="s">
        <v>551</v>
      </c>
    </row>
    <row r="110" spans="1:30" s="359" customFormat="1" x14ac:dyDescent="0.2">
      <c r="A110" s="369" t="s">
        <v>30</v>
      </c>
      <c r="B110" s="370" t="s">
        <v>65</v>
      </c>
      <c r="C110" s="369" t="s">
        <v>41</v>
      </c>
      <c r="D110" s="397" t="s">
        <v>186</v>
      </c>
      <c r="E110" s="430">
        <v>44.77</v>
      </c>
      <c r="F110" s="431">
        <v>-107.13</v>
      </c>
      <c r="G110" s="398">
        <v>48.935906619400001</v>
      </c>
      <c r="H110" s="390">
        <v>-93.235678575799994</v>
      </c>
      <c r="I110" s="391">
        <v>46.216635031599999</v>
      </c>
      <c r="J110" s="390">
        <v>-77.491440956100007</v>
      </c>
      <c r="K110" s="426">
        <f>I110-G110</f>
        <v>-2.7192715878000016</v>
      </c>
      <c r="L110" s="375">
        <v>5.1999999999999993</v>
      </c>
      <c r="M110" s="375"/>
      <c r="N110" s="375">
        <f>O110-L110</f>
        <v>26.1</v>
      </c>
      <c r="O110" s="376">
        <v>31.3</v>
      </c>
      <c r="P110" s="375">
        <f>O110+R110</f>
        <v>36.5</v>
      </c>
      <c r="Q110" s="375"/>
      <c r="R110" s="375">
        <v>5.1999999999999993</v>
      </c>
      <c r="S110" s="527" t="s">
        <v>645</v>
      </c>
      <c r="T110" s="544">
        <v>1</v>
      </c>
      <c r="U110" s="521">
        <v>2</v>
      </c>
      <c r="V110" s="521">
        <v>2</v>
      </c>
      <c r="W110" s="540"/>
      <c r="X110" s="378" t="s">
        <v>887</v>
      </c>
      <c r="Y110" s="379" t="s">
        <v>752</v>
      </c>
      <c r="Z110" s="380" t="s">
        <v>646</v>
      </c>
      <c r="AA110" s="381" t="s">
        <v>647</v>
      </c>
      <c r="AB110" s="372"/>
      <c r="AC110" s="382" t="s">
        <v>648</v>
      </c>
    </row>
    <row r="111" spans="1:30" s="359" customFormat="1" x14ac:dyDescent="0.2">
      <c r="A111" s="369" t="s">
        <v>665</v>
      </c>
      <c r="B111" s="370" t="s">
        <v>54</v>
      </c>
      <c r="C111" s="369" t="s">
        <v>41</v>
      </c>
      <c r="D111" s="397" t="s">
        <v>186</v>
      </c>
      <c r="E111" s="398">
        <v>55.333333333333336</v>
      </c>
      <c r="F111" s="390">
        <v>11.083333333333334</v>
      </c>
      <c r="G111" s="398">
        <v>54.290740210999999</v>
      </c>
      <c r="H111" s="390">
        <v>9.8713567788999992</v>
      </c>
      <c r="I111" s="391">
        <v>44.995609223999999</v>
      </c>
      <c r="J111" s="390">
        <v>10.7743898487</v>
      </c>
      <c r="K111" s="426">
        <f>I111-G111</f>
        <v>-9.2951309870000003</v>
      </c>
      <c r="L111" s="375">
        <v>5.0531734489092992</v>
      </c>
      <c r="M111" s="405">
        <v>17.809999999999999</v>
      </c>
      <c r="N111" s="405">
        <v>18.04</v>
      </c>
      <c r="O111" s="406">
        <v>18.72</v>
      </c>
      <c r="P111" s="405">
        <v>19.39</v>
      </c>
      <c r="Q111" s="405">
        <v>19.8</v>
      </c>
      <c r="R111" s="375">
        <v>5.0531734489092992</v>
      </c>
      <c r="S111" s="527" t="s">
        <v>889</v>
      </c>
      <c r="T111" s="544">
        <v>1</v>
      </c>
      <c r="U111" s="521">
        <v>1</v>
      </c>
      <c r="V111" s="521">
        <v>1</v>
      </c>
      <c r="W111" s="540"/>
      <c r="X111" s="378" t="s">
        <v>677</v>
      </c>
      <c r="Y111" s="379" t="s">
        <v>752</v>
      </c>
      <c r="Z111" s="380"/>
      <c r="AA111" s="381" t="s">
        <v>42</v>
      </c>
      <c r="AB111" s="372" t="s">
        <v>33</v>
      </c>
      <c r="AC111" s="382" t="s">
        <v>551</v>
      </c>
    </row>
    <row r="112" spans="1:30" s="359" customFormat="1" x14ac:dyDescent="0.2">
      <c r="A112" s="369" t="s">
        <v>105</v>
      </c>
      <c r="B112" s="370" t="s">
        <v>67</v>
      </c>
      <c r="C112" s="371" t="s">
        <v>41</v>
      </c>
      <c r="D112" s="372" t="s">
        <v>186</v>
      </c>
      <c r="E112" s="373">
        <v>51.4</v>
      </c>
      <c r="F112" s="374">
        <v>0.4</v>
      </c>
      <c r="G112" s="398">
        <v>50.247446438099999</v>
      </c>
      <c r="H112" s="390">
        <v>-1.21871795691</v>
      </c>
      <c r="I112" s="391">
        <v>40.4703487994</v>
      </c>
      <c r="J112" s="390">
        <v>1.9682755105500001</v>
      </c>
      <c r="K112" s="426">
        <f>I112-G112</f>
        <v>-9.777097638699999</v>
      </c>
      <c r="L112" s="399">
        <v>4.7699999999999996</v>
      </c>
      <c r="M112" s="405">
        <v>23.67</v>
      </c>
      <c r="N112" s="405">
        <v>23.89</v>
      </c>
      <c r="O112" s="406">
        <v>24.62</v>
      </c>
      <c r="P112" s="405">
        <v>25.36</v>
      </c>
      <c r="Q112" s="405">
        <v>25.85</v>
      </c>
      <c r="R112" s="399">
        <v>4.7699999999999996</v>
      </c>
      <c r="S112" s="528" t="s">
        <v>114</v>
      </c>
      <c r="T112" s="544">
        <v>1</v>
      </c>
      <c r="U112" s="521">
        <v>7</v>
      </c>
      <c r="V112" s="521">
        <v>7</v>
      </c>
      <c r="W112" s="540"/>
      <c r="X112" s="400" t="s">
        <v>678</v>
      </c>
      <c r="Y112" s="379" t="s">
        <v>198</v>
      </c>
      <c r="Z112" s="401"/>
      <c r="AA112" s="381" t="s">
        <v>77</v>
      </c>
      <c r="AB112" s="372"/>
      <c r="AC112" s="407"/>
    </row>
    <row r="113" spans="1:30" s="359" customFormat="1" x14ac:dyDescent="0.2">
      <c r="A113" s="369" t="s">
        <v>649</v>
      </c>
      <c r="B113" s="370" t="s">
        <v>99</v>
      </c>
      <c r="C113" s="369" t="s">
        <v>651</v>
      </c>
      <c r="D113" s="397" t="s">
        <v>186</v>
      </c>
      <c r="E113" s="398">
        <v>29.44</v>
      </c>
      <c r="F113" s="390">
        <v>-103.18</v>
      </c>
      <c r="G113" s="398">
        <v>34.149944911600002</v>
      </c>
      <c r="H113" s="390">
        <v>-90.260935310700006</v>
      </c>
      <c r="I113" s="391">
        <v>31.306767456599999</v>
      </c>
      <c r="J113" s="390">
        <v>-78.898961101400005</v>
      </c>
      <c r="K113" s="426">
        <v>-2.8431774550000029</v>
      </c>
      <c r="L113" s="375">
        <v>5.2</v>
      </c>
      <c r="M113" s="375"/>
      <c r="N113" s="375">
        <f>O113-L113</f>
        <v>21.6</v>
      </c>
      <c r="O113" s="376">
        <v>26.8</v>
      </c>
      <c r="P113" s="375">
        <f>O113+R113</f>
        <v>32</v>
      </c>
      <c r="Q113" s="375"/>
      <c r="R113" s="375">
        <v>5.2</v>
      </c>
      <c r="S113" s="527" t="s">
        <v>645</v>
      </c>
      <c r="T113" s="544">
        <v>1</v>
      </c>
      <c r="U113" s="521">
        <v>2</v>
      </c>
      <c r="V113" s="521">
        <v>2</v>
      </c>
      <c r="W113" s="540"/>
      <c r="X113" s="378" t="s">
        <v>887</v>
      </c>
      <c r="Y113" s="379" t="s">
        <v>752</v>
      </c>
      <c r="Z113" s="380" t="s">
        <v>652</v>
      </c>
      <c r="AA113" s="381" t="s">
        <v>654</v>
      </c>
      <c r="AB113" s="372"/>
      <c r="AC113" s="382"/>
    </row>
    <row r="114" spans="1:30" s="359" customFormat="1" x14ac:dyDescent="0.2">
      <c r="A114" s="369" t="s">
        <v>34</v>
      </c>
      <c r="B114" s="370" t="s">
        <v>97</v>
      </c>
      <c r="C114" s="369" t="s">
        <v>41</v>
      </c>
      <c r="D114" s="397" t="s">
        <v>186</v>
      </c>
      <c r="E114" s="373">
        <f>32+15/60</f>
        <v>32.25</v>
      </c>
      <c r="F114" s="374">
        <f>-88-43/60</f>
        <v>-88.716666666666669</v>
      </c>
      <c r="G114" s="398">
        <v>35.713172898800003</v>
      </c>
      <c r="H114" s="390">
        <v>-74.846073195499997</v>
      </c>
      <c r="I114" s="391">
        <v>30.4704155909</v>
      </c>
      <c r="J114" s="390">
        <v>-64.096915780399996</v>
      </c>
      <c r="K114" s="426">
        <f>I114-G114</f>
        <v>-5.2427573079000034</v>
      </c>
      <c r="L114" s="375"/>
      <c r="M114" s="427" t="s">
        <v>745</v>
      </c>
      <c r="N114" s="427" t="s">
        <v>746</v>
      </c>
      <c r="O114" s="428" t="s">
        <v>740</v>
      </c>
      <c r="P114" s="427" t="s">
        <v>747</v>
      </c>
      <c r="Q114" s="427" t="s">
        <v>748</v>
      </c>
      <c r="R114" s="375"/>
      <c r="S114" s="527" t="s">
        <v>889</v>
      </c>
      <c r="T114" s="544">
        <v>1</v>
      </c>
      <c r="U114" s="521">
        <v>12</v>
      </c>
      <c r="V114" s="521">
        <v>0</v>
      </c>
      <c r="W114" s="540">
        <v>12</v>
      </c>
      <c r="X114" s="412" t="s">
        <v>677</v>
      </c>
      <c r="Y114" s="379" t="s">
        <v>184</v>
      </c>
      <c r="Z114" s="380"/>
      <c r="AA114" s="381" t="s">
        <v>35</v>
      </c>
      <c r="AB114" s="372" t="s">
        <v>33</v>
      </c>
      <c r="AC114" s="382" t="s">
        <v>659</v>
      </c>
    </row>
    <row r="115" spans="1:30" s="413" customFormat="1" x14ac:dyDescent="0.2">
      <c r="A115" s="371" t="s">
        <v>680</v>
      </c>
      <c r="B115" s="392" t="s">
        <v>48</v>
      </c>
      <c r="C115" s="371" t="s">
        <v>129</v>
      </c>
      <c r="D115" s="372" t="s">
        <v>186</v>
      </c>
      <c r="E115" s="398">
        <f>27.84</f>
        <v>27.84</v>
      </c>
      <c r="F115" s="390">
        <v>73.2</v>
      </c>
      <c r="G115" s="398">
        <v>4.2315426444500002</v>
      </c>
      <c r="H115" s="390">
        <v>64.693480638300002</v>
      </c>
      <c r="I115" s="391">
        <v>2.1697011599499998</v>
      </c>
      <c r="J115" s="390">
        <v>69.344068448900003</v>
      </c>
      <c r="K115" s="426"/>
      <c r="L115" s="399">
        <v>4.7</v>
      </c>
      <c r="M115" s="405">
        <v>28.03</v>
      </c>
      <c r="N115" s="405">
        <v>28.07</v>
      </c>
      <c r="O115" s="406">
        <v>28.44</v>
      </c>
      <c r="P115" s="405">
        <v>28.81</v>
      </c>
      <c r="Q115" s="405">
        <v>28.92</v>
      </c>
      <c r="R115" s="399">
        <v>4.7</v>
      </c>
      <c r="S115" s="529" t="s">
        <v>66</v>
      </c>
      <c r="T115" s="544">
        <v>1</v>
      </c>
      <c r="U115" s="521">
        <v>3</v>
      </c>
      <c r="V115" s="521">
        <v>3</v>
      </c>
      <c r="W115" s="540"/>
      <c r="X115" s="400" t="s">
        <v>678</v>
      </c>
      <c r="Y115" s="410" t="s">
        <v>206</v>
      </c>
      <c r="Z115" s="387" t="s">
        <v>77</v>
      </c>
      <c r="AA115" s="385" t="s">
        <v>77</v>
      </c>
      <c r="AB115" s="372" t="s">
        <v>77</v>
      </c>
      <c r="AC115" s="382"/>
      <c r="AD115" s="395"/>
    </row>
    <row r="116" spans="1:30" s="359" customFormat="1" x14ac:dyDescent="0.2">
      <c r="A116" s="369" t="s">
        <v>128</v>
      </c>
      <c r="B116" s="370" t="s">
        <v>50</v>
      </c>
      <c r="C116" s="416" t="s">
        <v>129</v>
      </c>
      <c r="D116" s="370" t="s">
        <v>186</v>
      </c>
      <c r="E116" s="417">
        <v>-36.799999999999997</v>
      </c>
      <c r="F116" s="284">
        <v>149.1</v>
      </c>
      <c r="G116" s="398">
        <v>-62.078440321800002</v>
      </c>
      <c r="H116" s="390">
        <v>153.63886923999999</v>
      </c>
      <c r="I116" s="391">
        <v>-52.290150457199999</v>
      </c>
      <c r="J116" s="390">
        <v>161.84313658400001</v>
      </c>
      <c r="K116" s="426">
        <f>I116-G116</f>
        <v>9.7882898646000029</v>
      </c>
      <c r="L116" s="375">
        <v>2.9</v>
      </c>
      <c r="M116" s="375"/>
      <c r="N116" s="375">
        <f>O116-L116</f>
        <v>10.6</v>
      </c>
      <c r="O116" s="376">
        <v>13.5</v>
      </c>
      <c r="P116" s="375">
        <f>O116+R116</f>
        <v>16.399999999999999</v>
      </c>
      <c r="Q116" s="375"/>
      <c r="R116" s="375">
        <v>2.9</v>
      </c>
      <c r="S116" s="527" t="s">
        <v>113</v>
      </c>
      <c r="T116" s="544">
        <v>1</v>
      </c>
      <c r="U116" s="521">
        <v>1</v>
      </c>
      <c r="V116" s="521">
        <v>1</v>
      </c>
      <c r="W116" s="540"/>
      <c r="X116" s="378" t="s">
        <v>662</v>
      </c>
      <c r="Y116" s="379" t="s">
        <v>752</v>
      </c>
      <c r="Z116" s="380" t="s">
        <v>131</v>
      </c>
      <c r="AA116" s="381" t="s">
        <v>130</v>
      </c>
      <c r="AB116" s="372"/>
      <c r="AC116" s="382"/>
    </row>
    <row r="117" spans="1:30" s="359" customFormat="1" x14ac:dyDescent="0.2">
      <c r="A117" s="420" t="s">
        <v>128</v>
      </c>
      <c r="B117" s="490" t="s">
        <v>50</v>
      </c>
      <c r="C117" s="491" t="s">
        <v>129</v>
      </c>
      <c r="D117" s="490" t="s">
        <v>186</v>
      </c>
      <c r="E117" s="465">
        <v>-36.799999999999997</v>
      </c>
      <c r="F117" s="466">
        <v>149.1</v>
      </c>
      <c r="G117" s="562">
        <v>-62.078440321800002</v>
      </c>
      <c r="H117" s="563">
        <v>153.63886923999999</v>
      </c>
      <c r="I117" s="564">
        <v>-52.290150457199999</v>
      </c>
      <c r="J117" s="563">
        <v>161.84313658400001</v>
      </c>
      <c r="K117" s="493">
        <f>I117-G117</f>
        <v>9.7882898646000029</v>
      </c>
      <c r="L117" s="422"/>
      <c r="M117" s="422"/>
      <c r="N117" s="422">
        <v>16.3</v>
      </c>
      <c r="O117" s="492">
        <v>18.5</v>
      </c>
      <c r="P117" s="422">
        <v>20.7</v>
      </c>
      <c r="Q117" s="422"/>
      <c r="R117" s="493"/>
      <c r="S117" s="536" t="s">
        <v>107</v>
      </c>
      <c r="T117" s="546">
        <v>1</v>
      </c>
      <c r="U117" s="523">
        <v>1</v>
      </c>
      <c r="V117" s="523">
        <v>1</v>
      </c>
      <c r="W117" s="547"/>
      <c r="X117" s="469" t="s">
        <v>661</v>
      </c>
      <c r="Y117" s="468" t="s">
        <v>752</v>
      </c>
      <c r="Z117" s="423"/>
      <c r="AA117" s="424" t="s">
        <v>130</v>
      </c>
      <c r="AB117" s="421"/>
      <c r="AC117" s="425"/>
    </row>
    <row r="118" spans="1:30" s="359" customFormat="1" x14ac:dyDescent="0.2">
      <c r="A118" s="494"/>
      <c r="B118" s="475"/>
      <c r="C118" s="474"/>
      <c r="D118" s="475"/>
      <c r="E118" s="483"/>
      <c r="F118" s="484"/>
      <c r="G118" s="485"/>
      <c r="H118" s="486"/>
      <c r="I118" s="487"/>
      <c r="J118" s="486"/>
      <c r="K118" s="488"/>
      <c r="L118" s="477"/>
      <c r="M118" s="477"/>
      <c r="N118" s="477"/>
      <c r="O118" s="502"/>
      <c r="P118" s="477"/>
      <c r="Q118" s="477"/>
      <c r="R118" s="477"/>
      <c r="S118" s="533" t="s">
        <v>766</v>
      </c>
      <c r="T118" s="545">
        <f>COUNT(U108:U117)</f>
        <v>10</v>
      </c>
      <c r="U118" s="522">
        <f>SUM(U108:U117)</f>
        <v>43</v>
      </c>
      <c r="V118" s="522">
        <f>SUM(V108:V117)</f>
        <v>17</v>
      </c>
      <c r="W118" s="541">
        <f>SUM(W108:W117)</f>
        <v>26</v>
      </c>
      <c r="X118" s="503"/>
      <c r="Y118" s="489"/>
      <c r="Z118" s="499"/>
      <c r="AA118" s="500"/>
      <c r="AB118" s="495"/>
      <c r="AC118" s="501"/>
    </row>
    <row r="119" spans="1:30" s="359" customFormat="1" ht="15" thickBot="1" x14ac:dyDescent="0.25">
      <c r="A119" s="371"/>
      <c r="B119" s="392"/>
      <c r="C119" s="411"/>
      <c r="D119" s="392"/>
      <c r="E119" s="408"/>
      <c r="F119" s="409"/>
      <c r="G119" s="398"/>
      <c r="H119" s="390"/>
      <c r="I119" s="391"/>
      <c r="J119" s="390"/>
      <c r="K119" s="426"/>
      <c r="L119" s="375"/>
      <c r="M119" s="375"/>
      <c r="N119" s="375"/>
      <c r="O119" s="376"/>
      <c r="P119" s="375"/>
      <c r="Q119" s="375"/>
      <c r="R119" s="375"/>
      <c r="S119" s="537" t="s">
        <v>765</v>
      </c>
      <c r="T119" s="548">
        <f>SUM(T118,T107,T89)</f>
        <v>108</v>
      </c>
      <c r="U119" s="549">
        <f>SUM(U118,U107,U89)</f>
        <v>558</v>
      </c>
      <c r="V119" s="549">
        <f>SUM(V118,V107,V89)</f>
        <v>413</v>
      </c>
      <c r="W119" s="550">
        <f>SUM(W118,W107,W89)</f>
        <v>145</v>
      </c>
      <c r="X119" s="378"/>
      <c r="Y119" s="410"/>
      <c r="Z119" s="380"/>
      <c r="AA119" s="385"/>
      <c r="AB119" s="372"/>
      <c r="AC119" s="382"/>
    </row>
    <row r="120" spans="1:30" s="395" customFormat="1" x14ac:dyDescent="0.2">
      <c r="A120" s="432"/>
      <c r="B120" s="433"/>
      <c r="C120" s="432"/>
      <c r="D120" s="434"/>
      <c r="E120" s="435"/>
      <c r="F120" s="436"/>
      <c r="G120" s="398"/>
      <c r="H120" s="390"/>
      <c r="I120" s="391"/>
      <c r="J120" s="390"/>
      <c r="K120" s="426"/>
      <c r="L120" s="437"/>
      <c r="M120" s="437"/>
      <c r="N120" s="437"/>
      <c r="O120" s="438"/>
      <c r="P120" s="437"/>
      <c r="Q120" s="437"/>
      <c r="R120" s="437"/>
      <c r="S120" s="538"/>
      <c r="T120" s="524"/>
      <c r="U120" s="524"/>
      <c r="V120" s="524"/>
      <c r="W120" s="524"/>
      <c r="X120" s="439"/>
      <c r="Y120" s="440"/>
      <c r="Z120" s="441"/>
      <c r="AA120" s="442"/>
      <c r="AB120" s="434"/>
      <c r="AC120" s="443"/>
    </row>
    <row r="121" spans="1:30" s="395" customFormat="1" x14ac:dyDescent="0.2">
      <c r="A121" s="371" t="s">
        <v>111</v>
      </c>
      <c r="B121" s="392" t="s">
        <v>61</v>
      </c>
      <c r="C121" s="371" t="s">
        <v>2</v>
      </c>
      <c r="D121" s="372" t="s">
        <v>642</v>
      </c>
      <c r="E121" s="373">
        <v>60.1</v>
      </c>
      <c r="F121" s="374">
        <v>-142.69999999999999</v>
      </c>
      <c r="G121" s="398">
        <v>66.421589953099996</v>
      </c>
      <c r="H121" s="390">
        <v>-132.13893308799999</v>
      </c>
      <c r="I121" s="391">
        <v>69.337902498399998</v>
      </c>
      <c r="J121" s="390">
        <v>-103.197074147</v>
      </c>
      <c r="K121" s="426">
        <f t="shared" ref="K121:K135" si="10">I121-G121</f>
        <v>2.9163125453000021</v>
      </c>
      <c r="L121" s="375">
        <v>1</v>
      </c>
      <c r="M121" s="375"/>
      <c r="N121" s="375">
        <f t="shared" ref="N121:N142" si="11">O121-L121</f>
        <v>18.399999999999999</v>
      </c>
      <c r="O121" s="376">
        <v>19.399999999999999</v>
      </c>
      <c r="P121" s="375">
        <f t="shared" ref="P121:P142" si="12">O121+R121</f>
        <v>20.399999999999999</v>
      </c>
      <c r="Q121" s="375"/>
      <c r="R121" s="375">
        <v>1</v>
      </c>
      <c r="S121" s="531" t="s">
        <v>108</v>
      </c>
      <c r="T121" s="525"/>
      <c r="U121" s="525"/>
      <c r="V121" s="525"/>
      <c r="W121" s="525"/>
      <c r="X121" s="383" t="s">
        <v>662</v>
      </c>
      <c r="Y121" s="379" t="s">
        <v>752</v>
      </c>
      <c r="Z121" s="380" t="s">
        <v>153</v>
      </c>
      <c r="AA121" s="381" t="s">
        <v>152</v>
      </c>
      <c r="AB121" s="372" t="s">
        <v>4</v>
      </c>
      <c r="AC121" s="382"/>
      <c r="AD121" s="359"/>
    </row>
    <row r="122" spans="1:30" s="359" customFormat="1" x14ac:dyDescent="0.2">
      <c r="A122" s="371" t="s">
        <v>111</v>
      </c>
      <c r="B122" s="392" t="s">
        <v>61</v>
      </c>
      <c r="C122" s="371" t="s">
        <v>5</v>
      </c>
      <c r="D122" s="372" t="s">
        <v>642</v>
      </c>
      <c r="E122" s="373">
        <v>60.1</v>
      </c>
      <c r="F122" s="374">
        <v>-142.69999999999999</v>
      </c>
      <c r="G122" s="398">
        <v>66.421589953099996</v>
      </c>
      <c r="H122" s="390">
        <v>-132.13893308799999</v>
      </c>
      <c r="I122" s="391">
        <v>69.337902498399998</v>
      </c>
      <c r="J122" s="390">
        <v>-103.197074147</v>
      </c>
      <c r="K122" s="426">
        <f t="shared" si="10"/>
        <v>2.9163125453000021</v>
      </c>
      <c r="L122" s="375">
        <v>2</v>
      </c>
      <c r="M122" s="375"/>
      <c r="N122" s="375">
        <f t="shared" si="11"/>
        <v>16.899999999999999</v>
      </c>
      <c r="O122" s="376">
        <v>18.899999999999999</v>
      </c>
      <c r="P122" s="375">
        <f t="shared" si="12"/>
        <v>20.9</v>
      </c>
      <c r="Q122" s="375"/>
      <c r="R122" s="375">
        <v>2</v>
      </c>
      <c r="S122" s="531" t="s">
        <v>108</v>
      </c>
      <c r="T122" s="525"/>
      <c r="U122" s="525"/>
      <c r="V122" s="525"/>
      <c r="W122" s="525"/>
      <c r="X122" s="383" t="s">
        <v>662</v>
      </c>
      <c r="Y122" s="379" t="s">
        <v>752</v>
      </c>
      <c r="Z122" s="393" t="s">
        <v>146</v>
      </c>
      <c r="AA122" s="381" t="s">
        <v>6</v>
      </c>
      <c r="AB122" s="394" t="s">
        <v>7</v>
      </c>
      <c r="AC122" s="382"/>
    </row>
    <row r="123" spans="1:30" s="359" customFormat="1" ht="30" x14ac:dyDescent="0.2">
      <c r="A123" s="369" t="s">
        <v>25</v>
      </c>
      <c r="B123" s="370" t="s">
        <v>63</v>
      </c>
      <c r="C123" s="371" t="s">
        <v>2</v>
      </c>
      <c r="D123" s="372" t="s">
        <v>642</v>
      </c>
      <c r="E123" s="373">
        <v>78.8</v>
      </c>
      <c r="F123" s="374">
        <v>-82</v>
      </c>
      <c r="G123" s="398">
        <v>78.886149918200005</v>
      </c>
      <c r="H123" s="390">
        <v>-35.264581549100001</v>
      </c>
      <c r="I123" s="391">
        <v>69.288957839700004</v>
      </c>
      <c r="J123" s="390">
        <v>-20.048233218</v>
      </c>
      <c r="K123" s="426">
        <f t="shared" si="10"/>
        <v>-9.5971920785000009</v>
      </c>
      <c r="L123" s="399">
        <v>7</v>
      </c>
      <c r="M123" s="399"/>
      <c r="N123" s="375">
        <f t="shared" si="11"/>
        <v>1</v>
      </c>
      <c r="O123" s="376">
        <v>8</v>
      </c>
      <c r="P123" s="375">
        <f t="shared" si="12"/>
        <v>15</v>
      </c>
      <c r="Q123" s="375"/>
      <c r="R123" s="399">
        <v>7</v>
      </c>
      <c r="S123" s="527" t="s">
        <v>112</v>
      </c>
      <c r="T123" s="521"/>
      <c r="U123" s="521"/>
      <c r="V123" s="521"/>
      <c r="W123" s="521"/>
      <c r="X123" s="378" t="s">
        <v>663</v>
      </c>
      <c r="Y123" s="379" t="s">
        <v>752</v>
      </c>
      <c r="Z123" s="380"/>
      <c r="AA123" s="381" t="s">
        <v>4</v>
      </c>
      <c r="AB123" s="372" t="s">
        <v>4</v>
      </c>
      <c r="AC123" s="444" t="s">
        <v>106</v>
      </c>
    </row>
    <row r="124" spans="1:30" s="359" customFormat="1" x14ac:dyDescent="0.2">
      <c r="A124" s="371" t="s">
        <v>118</v>
      </c>
      <c r="B124" s="372" t="s">
        <v>95</v>
      </c>
      <c r="C124" s="371" t="s">
        <v>2</v>
      </c>
      <c r="D124" s="372" t="s">
        <v>642</v>
      </c>
      <c r="E124" s="373">
        <v>52.3</v>
      </c>
      <c r="F124" s="374">
        <v>-121.4</v>
      </c>
      <c r="G124" s="398">
        <v>58.069821262700003</v>
      </c>
      <c r="H124" s="390">
        <v>-107.364750978</v>
      </c>
      <c r="I124" s="391">
        <v>57.3262003615</v>
      </c>
      <c r="J124" s="390">
        <v>-86.344938540900003</v>
      </c>
      <c r="K124" s="426">
        <f t="shared" si="10"/>
        <v>-0.74362090120000346</v>
      </c>
      <c r="L124" s="375">
        <v>3.6</v>
      </c>
      <c r="M124" s="375"/>
      <c r="N124" s="375">
        <f t="shared" si="11"/>
        <v>9.26</v>
      </c>
      <c r="O124" s="376">
        <v>12.86</v>
      </c>
      <c r="P124" s="375">
        <f t="shared" si="12"/>
        <v>16.46</v>
      </c>
      <c r="Q124" s="375"/>
      <c r="R124" s="375">
        <v>3.6</v>
      </c>
      <c r="S124" s="531" t="s">
        <v>113</v>
      </c>
      <c r="T124" s="525"/>
      <c r="U124" s="525"/>
      <c r="V124" s="525"/>
      <c r="W124" s="525"/>
      <c r="X124" s="383" t="s">
        <v>662</v>
      </c>
      <c r="Y124" s="379" t="s">
        <v>752</v>
      </c>
      <c r="Z124" s="384" t="s">
        <v>147</v>
      </c>
      <c r="AA124" s="381" t="s">
        <v>139</v>
      </c>
      <c r="AB124" s="372" t="s">
        <v>4</v>
      </c>
      <c r="AC124" s="382" t="s">
        <v>552</v>
      </c>
    </row>
    <row r="125" spans="1:30" s="359" customFormat="1" ht="30" x14ac:dyDescent="0.2">
      <c r="A125" s="369" t="s">
        <v>124</v>
      </c>
      <c r="B125" s="370" t="s">
        <v>53</v>
      </c>
      <c r="C125" s="371" t="s">
        <v>2</v>
      </c>
      <c r="D125" s="372" t="s">
        <v>642</v>
      </c>
      <c r="E125" s="373">
        <f>41+50/60</f>
        <v>41.833333333333336</v>
      </c>
      <c r="F125" s="374">
        <f>123+54/60</f>
        <v>123.9</v>
      </c>
      <c r="G125" s="398">
        <v>42.852466675999999</v>
      </c>
      <c r="H125" s="390">
        <v>122.992886304</v>
      </c>
      <c r="I125" s="391">
        <v>49.657992986499998</v>
      </c>
      <c r="J125" s="390">
        <v>120.52468450000001</v>
      </c>
      <c r="K125" s="426">
        <f t="shared" si="10"/>
        <v>6.8055263104999995</v>
      </c>
      <c r="L125" s="375">
        <v>0.45</v>
      </c>
      <c r="M125" s="375"/>
      <c r="N125" s="375">
        <f t="shared" si="11"/>
        <v>15.4</v>
      </c>
      <c r="O125" s="376">
        <v>15.85</v>
      </c>
      <c r="P125" s="375">
        <f t="shared" si="12"/>
        <v>16.3</v>
      </c>
      <c r="Q125" s="375"/>
      <c r="R125" s="375">
        <v>0.45</v>
      </c>
      <c r="S125" s="532" t="s">
        <v>116</v>
      </c>
      <c r="T125" s="526"/>
      <c r="U125" s="526"/>
      <c r="V125" s="526"/>
      <c r="W125" s="526"/>
      <c r="X125" s="412" t="s">
        <v>661</v>
      </c>
      <c r="Y125" s="379" t="s">
        <v>752</v>
      </c>
      <c r="Z125" s="415"/>
      <c r="AA125" s="381" t="s">
        <v>143</v>
      </c>
      <c r="AB125" s="372" t="s">
        <v>4</v>
      </c>
      <c r="AC125" s="444" t="s">
        <v>144</v>
      </c>
    </row>
    <row r="126" spans="1:30" s="359" customFormat="1" x14ac:dyDescent="0.2">
      <c r="A126" s="371" t="s">
        <v>149</v>
      </c>
      <c r="B126" s="392" t="s">
        <v>64</v>
      </c>
      <c r="C126" s="371" t="s">
        <v>2</v>
      </c>
      <c r="D126" s="372" t="s">
        <v>642</v>
      </c>
      <c r="E126" s="373">
        <v>47</v>
      </c>
      <c r="F126" s="374">
        <v>-102.8</v>
      </c>
      <c r="G126" s="398">
        <v>51.593321763100001</v>
      </c>
      <c r="H126" s="390">
        <v>-87.435035153800001</v>
      </c>
      <c r="I126" s="391">
        <v>47.875104668600002</v>
      </c>
      <c r="J126" s="390">
        <v>-71.255553206800002</v>
      </c>
      <c r="K126" s="426">
        <f t="shared" si="10"/>
        <v>-3.7182170944999982</v>
      </c>
      <c r="L126" s="375">
        <v>3.6</v>
      </c>
      <c r="M126" s="375"/>
      <c r="N126" s="375">
        <f t="shared" si="11"/>
        <v>14.200000000000001</v>
      </c>
      <c r="O126" s="376">
        <v>17.8</v>
      </c>
      <c r="P126" s="375">
        <f t="shared" si="12"/>
        <v>21.400000000000002</v>
      </c>
      <c r="Q126" s="375"/>
      <c r="R126" s="375">
        <v>3.6</v>
      </c>
      <c r="S126" s="527" t="s">
        <v>585</v>
      </c>
      <c r="T126" s="521"/>
      <c r="U126" s="521"/>
      <c r="V126" s="521"/>
      <c r="W126" s="521"/>
      <c r="X126" s="378" t="s">
        <v>661</v>
      </c>
      <c r="Y126" s="379" t="s">
        <v>752</v>
      </c>
      <c r="Z126" s="380"/>
      <c r="AA126" s="381" t="s">
        <v>122</v>
      </c>
      <c r="AB126" s="372" t="s">
        <v>4</v>
      </c>
      <c r="AC126" s="382"/>
    </row>
    <row r="127" spans="1:30" s="359" customFormat="1" x14ac:dyDescent="0.2">
      <c r="A127" s="371" t="s">
        <v>123</v>
      </c>
      <c r="B127" s="392" t="s">
        <v>59</v>
      </c>
      <c r="C127" s="371" t="s">
        <v>2</v>
      </c>
      <c r="D127" s="372" t="s">
        <v>642</v>
      </c>
      <c r="E127" s="373">
        <v>44.9</v>
      </c>
      <c r="F127" s="374">
        <v>-110.5</v>
      </c>
      <c r="G127" s="398">
        <v>50.067930585100001</v>
      </c>
      <c r="H127" s="390">
        <v>-96.215359363499999</v>
      </c>
      <c r="I127" s="391">
        <v>47.797884984299998</v>
      </c>
      <c r="J127" s="390">
        <v>-79.821905255299995</v>
      </c>
      <c r="K127" s="426">
        <f t="shared" si="10"/>
        <v>-2.2700456008000032</v>
      </c>
      <c r="L127" s="375">
        <v>3.6</v>
      </c>
      <c r="M127" s="375"/>
      <c r="N127" s="375">
        <f t="shared" si="11"/>
        <v>9.5</v>
      </c>
      <c r="O127" s="376">
        <v>13.1</v>
      </c>
      <c r="P127" s="375">
        <f t="shared" si="12"/>
        <v>16.7</v>
      </c>
      <c r="Q127" s="375"/>
      <c r="R127" s="375">
        <v>3.6</v>
      </c>
      <c r="S127" s="531" t="s">
        <v>113</v>
      </c>
      <c r="T127" s="525"/>
      <c r="U127" s="525"/>
      <c r="V127" s="525"/>
      <c r="W127" s="525"/>
      <c r="X127" s="383" t="s">
        <v>662</v>
      </c>
      <c r="Y127" s="379" t="s">
        <v>752</v>
      </c>
      <c r="Z127" s="384" t="s">
        <v>147</v>
      </c>
      <c r="AA127" s="381" t="s">
        <v>4</v>
      </c>
      <c r="AB127" s="372" t="s">
        <v>4</v>
      </c>
      <c r="AC127" s="382"/>
    </row>
    <row r="128" spans="1:30" s="359" customFormat="1" x14ac:dyDescent="0.2">
      <c r="A128" s="371" t="s">
        <v>126</v>
      </c>
      <c r="B128" s="392" t="s">
        <v>59</v>
      </c>
      <c r="C128" s="371" t="s">
        <v>5</v>
      </c>
      <c r="D128" s="372" t="s">
        <v>642</v>
      </c>
      <c r="E128" s="373">
        <v>39.299999999999997</v>
      </c>
      <c r="F128" s="374">
        <f>-120-50/60</f>
        <v>-120.83333333333333</v>
      </c>
      <c r="G128" s="398">
        <v>44.874204032800002</v>
      </c>
      <c r="H128" s="390">
        <v>-108.208873325</v>
      </c>
      <c r="I128" s="391">
        <v>44.796065173599999</v>
      </c>
      <c r="J128" s="390">
        <v>-93.0578393861</v>
      </c>
      <c r="K128" s="426">
        <f t="shared" si="10"/>
        <v>-7.8138859200002742E-2</v>
      </c>
      <c r="L128" s="375">
        <v>2</v>
      </c>
      <c r="M128" s="375"/>
      <c r="N128" s="375">
        <f t="shared" si="11"/>
        <v>13.8</v>
      </c>
      <c r="O128" s="376">
        <v>15.8</v>
      </c>
      <c r="P128" s="375">
        <f t="shared" si="12"/>
        <v>17.8</v>
      </c>
      <c r="Q128" s="375"/>
      <c r="R128" s="375">
        <v>2</v>
      </c>
      <c r="S128" s="531" t="s">
        <v>108</v>
      </c>
      <c r="T128" s="525"/>
      <c r="U128" s="525"/>
      <c r="V128" s="525"/>
      <c r="W128" s="525"/>
      <c r="X128" s="383" t="s">
        <v>662</v>
      </c>
      <c r="Y128" s="379" t="s">
        <v>752</v>
      </c>
      <c r="Z128" s="393" t="s">
        <v>146</v>
      </c>
      <c r="AA128" s="381" t="s">
        <v>6</v>
      </c>
      <c r="AB128" s="394" t="s">
        <v>7</v>
      </c>
      <c r="AC128" s="382"/>
    </row>
    <row r="129" spans="1:30" s="359" customFormat="1" x14ac:dyDescent="0.2">
      <c r="A129" s="371" t="s">
        <v>126</v>
      </c>
      <c r="B129" s="392" t="s">
        <v>59</v>
      </c>
      <c r="C129" s="371" t="s">
        <v>2</v>
      </c>
      <c r="D129" s="372" t="s">
        <v>642</v>
      </c>
      <c r="E129" s="398">
        <v>39.1</v>
      </c>
      <c r="F129" s="390">
        <f>-120-50/60</f>
        <v>-120.83333333333333</v>
      </c>
      <c r="G129" s="398">
        <v>44.874204032800002</v>
      </c>
      <c r="H129" s="390">
        <v>-108.208873325</v>
      </c>
      <c r="I129" s="391">
        <v>44.796065173599999</v>
      </c>
      <c r="J129" s="390">
        <v>-93.0578393861</v>
      </c>
      <c r="K129" s="426">
        <f t="shared" si="10"/>
        <v>-7.8138859200002742E-2</v>
      </c>
      <c r="L129" s="375">
        <v>3.6</v>
      </c>
      <c r="M129" s="375"/>
      <c r="N129" s="375">
        <f t="shared" si="11"/>
        <v>16.399999999999999</v>
      </c>
      <c r="O129" s="376">
        <v>20</v>
      </c>
      <c r="P129" s="375">
        <f t="shared" si="12"/>
        <v>23.6</v>
      </c>
      <c r="Q129" s="375"/>
      <c r="R129" s="375">
        <v>3.6</v>
      </c>
      <c r="S129" s="527" t="s">
        <v>113</v>
      </c>
      <c r="T129" s="521"/>
      <c r="U129" s="521"/>
      <c r="V129" s="521"/>
      <c r="W129" s="521"/>
      <c r="X129" s="378" t="s">
        <v>662</v>
      </c>
      <c r="Y129" s="379" t="s">
        <v>752</v>
      </c>
      <c r="Z129" s="384" t="s">
        <v>147</v>
      </c>
      <c r="AA129" s="385" t="s">
        <v>137</v>
      </c>
      <c r="AB129" s="372" t="s">
        <v>4</v>
      </c>
      <c r="AC129" s="382" t="s">
        <v>3</v>
      </c>
    </row>
    <row r="130" spans="1:30" s="359" customFormat="1" x14ac:dyDescent="0.2">
      <c r="A130" s="371" t="s">
        <v>125</v>
      </c>
      <c r="B130" s="392" t="s">
        <v>58</v>
      </c>
      <c r="C130" s="371" t="s">
        <v>2</v>
      </c>
      <c r="D130" s="372" t="s">
        <v>642</v>
      </c>
      <c r="E130" s="373">
        <v>41.5</v>
      </c>
      <c r="F130" s="374">
        <v>-110</v>
      </c>
      <c r="G130" s="398">
        <v>46.648856728799998</v>
      </c>
      <c r="H130" s="390">
        <v>-96.137974537900007</v>
      </c>
      <c r="I130" s="391">
        <v>44.472832474100002</v>
      </c>
      <c r="J130" s="390">
        <v>-80.974124011300006</v>
      </c>
      <c r="K130" s="426">
        <f t="shared" si="10"/>
        <v>-2.1760242546999962</v>
      </c>
      <c r="L130" s="375">
        <v>7.7</v>
      </c>
      <c r="M130" s="375"/>
      <c r="N130" s="375">
        <f t="shared" si="11"/>
        <v>16.8</v>
      </c>
      <c r="O130" s="376">
        <v>24.5</v>
      </c>
      <c r="P130" s="375">
        <f t="shared" si="12"/>
        <v>31.7</v>
      </c>
      <c r="Q130" s="375"/>
      <c r="R130" s="375">
        <v>7.2</v>
      </c>
      <c r="S130" s="531" t="s">
        <v>113</v>
      </c>
      <c r="T130" s="525"/>
      <c r="U130" s="525"/>
      <c r="V130" s="525"/>
      <c r="W130" s="525"/>
      <c r="X130" s="383" t="s">
        <v>662</v>
      </c>
      <c r="Y130" s="379" t="s">
        <v>752</v>
      </c>
      <c r="Z130" s="384" t="s">
        <v>147</v>
      </c>
      <c r="AA130" s="381" t="s">
        <v>4</v>
      </c>
      <c r="AB130" s="372" t="s">
        <v>4</v>
      </c>
      <c r="AC130" s="382" t="s">
        <v>3</v>
      </c>
      <c r="AD130" s="395"/>
    </row>
    <row r="131" spans="1:30" s="396" customFormat="1" x14ac:dyDescent="0.2">
      <c r="A131" s="369" t="s">
        <v>165</v>
      </c>
      <c r="B131" s="397" t="s">
        <v>166</v>
      </c>
      <c r="C131" s="371" t="s">
        <v>167</v>
      </c>
      <c r="D131" s="372" t="s">
        <v>642</v>
      </c>
      <c r="E131" s="373">
        <v>-46.75</v>
      </c>
      <c r="F131" s="374">
        <v>-71.83</v>
      </c>
      <c r="G131" s="398">
        <v>48.360486567999999</v>
      </c>
      <c r="H131" s="390">
        <v>-54.833766799800003</v>
      </c>
      <c r="I131" s="391">
        <v>40.496736400000003</v>
      </c>
      <c r="J131" s="390">
        <v>-43.581846392199999</v>
      </c>
      <c r="K131" s="426">
        <f t="shared" si="10"/>
        <v>-7.8637501679999957</v>
      </c>
      <c r="L131" s="399">
        <v>2.1</v>
      </c>
      <c r="M131" s="399"/>
      <c r="N131" s="375">
        <f t="shared" si="11"/>
        <v>14.799999999999999</v>
      </c>
      <c r="O131" s="402">
        <v>16.899999999999999</v>
      </c>
      <c r="P131" s="375">
        <f t="shared" si="12"/>
        <v>19</v>
      </c>
      <c r="Q131" s="375"/>
      <c r="R131" s="399">
        <v>2.1</v>
      </c>
      <c r="S131" s="527" t="s">
        <v>171</v>
      </c>
      <c r="T131" s="521"/>
      <c r="U131" s="521"/>
      <c r="V131" s="521"/>
      <c r="W131" s="521"/>
      <c r="X131" s="378" t="s">
        <v>662</v>
      </c>
      <c r="Y131" s="379" t="s">
        <v>752</v>
      </c>
      <c r="Z131" s="380" t="s">
        <v>178</v>
      </c>
      <c r="AA131" s="377" t="s">
        <v>177</v>
      </c>
      <c r="AB131" s="372"/>
      <c r="AC131" s="382"/>
      <c r="AD131" s="359"/>
    </row>
    <row r="132" spans="1:30" s="396" customFormat="1" ht="30" x14ac:dyDescent="0.2">
      <c r="A132" s="369" t="s">
        <v>165</v>
      </c>
      <c r="B132" s="397" t="s">
        <v>166</v>
      </c>
      <c r="C132" s="371" t="s">
        <v>167</v>
      </c>
      <c r="D132" s="372" t="s">
        <v>642</v>
      </c>
      <c r="E132" s="373">
        <v>-46.75</v>
      </c>
      <c r="F132" s="374">
        <v>-71.83</v>
      </c>
      <c r="G132" s="398">
        <v>48.360486567999999</v>
      </c>
      <c r="H132" s="390">
        <v>-54.833766799800003</v>
      </c>
      <c r="I132" s="391">
        <v>40.496736400000003</v>
      </c>
      <c r="J132" s="390">
        <v>-43.581846392199999</v>
      </c>
      <c r="K132" s="426">
        <f t="shared" si="10"/>
        <v>-7.8637501679999957</v>
      </c>
      <c r="L132" s="399">
        <v>2.1</v>
      </c>
      <c r="M132" s="399"/>
      <c r="N132" s="375">
        <f t="shared" si="11"/>
        <v>17.399999999999999</v>
      </c>
      <c r="O132" s="402">
        <v>19.5</v>
      </c>
      <c r="P132" s="375">
        <f t="shared" si="12"/>
        <v>21.6</v>
      </c>
      <c r="Q132" s="375"/>
      <c r="R132" s="399">
        <v>2.1</v>
      </c>
      <c r="S132" s="527" t="s">
        <v>169</v>
      </c>
      <c r="T132" s="521"/>
      <c r="U132" s="521"/>
      <c r="V132" s="521"/>
      <c r="W132" s="521"/>
      <c r="X132" s="378" t="s">
        <v>662</v>
      </c>
      <c r="Y132" s="379" t="s">
        <v>752</v>
      </c>
      <c r="Z132" s="380" t="s">
        <v>178</v>
      </c>
      <c r="AA132" s="377" t="s">
        <v>177</v>
      </c>
      <c r="AB132" s="372"/>
      <c r="AC132" s="444" t="s">
        <v>183</v>
      </c>
      <c r="AD132" s="359"/>
    </row>
    <row r="133" spans="1:30" s="359" customFormat="1" x14ac:dyDescent="0.2">
      <c r="A133" s="369" t="s">
        <v>165</v>
      </c>
      <c r="B133" s="397" t="s">
        <v>166</v>
      </c>
      <c r="C133" s="371" t="s">
        <v>167</v>
      </c>
      <c r="D133" s="372" t="s">
        <v>642</v>
      </c>
      <c r="E133" s="373">
        <v>-46.75</v>
      </c>
      <c r="F133" s="374">
        <v>-71.83</v>
      </c>
      <c r="G133" s="398">
        <v>48.360486567999999</v>
      </c>
      <c r="H133" s="390">
        <v>-54.833766799800003</v>
      </c>
      <c r="I133" s="391">
        <v>40.496736400000003</v>
      </c>
      <c r="J133" s="390">
        <v>-43.581846392199999</v>
      </c>
      <c r="K133" s="426">
        <f t="shared" si="10"/>
        <v>-7.8637501679999957</v>
      </c>
      <c r="L133" s="399">
        <v>2.1</v>
      </c>
      <c r="M133" s="399"/>
      <c r="N133" s="375">
        <f t="shared" si="11"/>
        <v>16.899999999999999</v>
      </c>
      <c r="O133" s="402">
        <v>19</v>
      </c>
      <c r="P133" s="375">
        <f t="shared" si="12"/>
        <v>21.1</v>
      </c>
      <c r="Q133" s="375"/>
      <c r="R133" s="399">
        <v>2.1</v>
      </c>
      <c r="S133" s="527" t="s">
        <v>170</v>
      </c>
      <c r="T133" s="521"/>
      <c r="U133" s="521"/>
      <c r="V133" s="521"/>
      <c r="W133" s="521"/>
      <c r="X133" s="378" t="s">
        <v>662</v>
      </c>
      <c r="Y133" s="379" t="s">
        <v>752</v>
      </c>
      <c r="Z133" s="380" t="s">
        <v>178</v>
      </c>
      <c r="AA133" s="377" t="s">
        <v>177</v>
      </c>
      <c r="AB133" s="372"/>
      <c r="AC133" s="382"/>
      <c r="AD133" s="395"/>
    </row>
    <row r="134" spans="1:30" s="359" customFormat="1" x14ac:dyDescent="0.2">
      <c r="A134" s="371" t="s">
        <v>115</v>
      </c>
      <c r="B134" s="392" t="s">
        <v>51</v>
      </c>
      <c r="C134" s="371" t="s">
        <v>749</v>
      </c>
      <c r="D134" s="372" t="s">
        <v>682</v>
      </c>
      <c r="E134" s="398">
        <v>49</v>
      </c>
      <c r="F134" s="390">
        <v>8</v>
      </c>
      <c r="G134" s="398">
        <v>47.924515905</v>
      </c>
      <c r="H134" s="390">
        <v>7.0421980184399997</v>
      </c>
      <c r="I134" s="391">
        <v>38.498753126499999</v>
      </c>
      <c r="J134" s="390">
        <v>9.1539290000399998</v>
      </c>
      <c r="K134" s="426">
        <f t="shared" si="10"/>
        <v>-9.4257627785000011</v>
      </c>
      <c r="L134" s="375">
        <v>3.55</v>
      </c>
      <c r="M134" s="375"/>
      <c r="N134" s="375">
        <f t="shared" si="11"/>
        <v>16.8</v>
      </c>
      <c r="O134" s="376">
        <v>20.350000000000001</v>
      </c>
      <c r="P134" s="375">
        <f t="shared" si="12"/>
        <v>23.900000000000002</v>
      </c>
      <c r="Q134" s="375"/>
      <c r="R134" s="375">
        <v>3.55</v>
      </c>
      <c r="S134" s="532" t="s">
        <v>690</v>
      </c>
      <c r="T134" s="526"/>
      <c r="U134" s="526"/>
      <c r="V134" s="526"/>
      <c r="W134" s="526"/>
      <c r="X134" s="412" t="s">
        <v>662</v>
      </c>
      <c r="Y134" s="379" t="s">
        <v>752</v>
      </c>
      <c r="Z134" s="415"/>
      <c r="AA134" s="385" t="s">
        <v>12</v>
      </c>
      <c r="AB134" s="372" t="s">
        <v>13</v>
      </c>
      <c r="AC134" s="382"/>
      <c r="AD134" s="395"/>
    </row>
    <row r="135" spans="1:30" s="359" customFormat="1" ht="30" x14ac:dyDescent="0.2">
      <c r="A135" s="371" t="s">
        <v>115</v>
      </c>
      <c r="B135" s="392" t="s">
        <v>51</v>
      </c>
      <c r="C135" s="371" t="s">
        <v>749</v>
      </c>
      <c r="D135" s="372" t="s">
        <v>682</v>
      </c>
      <c r="E135" s="398">
        <v>49</v>
      </c>
      <c r="F135" s="390">
        <v>8</v>
      </c>
      <c r="G135" s="398">
        <v>47.924515905</v>
      </c>
      <c r="H135" s="390">
        <v>7.0421980184399997</v>
      </c>
      <c r="I135" s="391">
        <v>38.498753126499999</v>
      </c>
      <c r="J135" s="390">
        <v>9.1539290000399998</v>
      </c>
      <c r="K135" s="426">
        <f t="shared" si="10"/>
        <v>-9.4257627785000011</v>
      </c>
      <c r="L135" s="375">
        <v>2.5</v>
      </c>
      <c r="M135" s="375"/>
      <c r="N135" s="375">
        <f t="shared" si="11"/>
        <v>19.899999999999999</v>
      </c>
      <c r="O135" s="376">
        <v>22.4</v>
      </c>
      <c r="P135" s="375">
        <f t="shared" si="12"/>
        <v>25</v>
      </c>
      <c r="Q135" s="375"/>
      <c r="R135" s="375">
        <v>2.6</v>
      </c>
      <c r="S135" s="527" t="s">
        <v>113</v>
      </c>
      <c r="T135" s="521"/>
      <c r="U135" s="521"/>
      <c r="V135" s="521"/>
      <c r="W135" s="521"/>
      <c r="X135" s="378" t="s">
        <v>662</v>
      </c>
      <c r="Y135" s="379" t="s">
        <v>752</v>
      </c>
      <c r="Z135" s="445" t="s">
        <v>154</v>
      </c>
      <c r="AA135" s="385" t="s">
        <v>12</v>
      </c>
      <c r="AB135" s="372" t="s">
        <v>13</v>
      </c>
      <c r="AC135" s="382"/>
      <c r="AD135" s="395"/>
    </row>
    <row r="136" spans="1:30" s="395" customFormat="1" x14ac:dyDescent="0.2">
      <c r="A136" s="371" t="s">
        <v>201</v>
      </c>
      <c r="B136" s="392" t="s">
        <v>48</v>
      </c>
      <c r="C136" s="371" t="s">
        <v>205</v>
      </c>
      <c r="D136" s="372" t="s">
        <v>642</v>
      </c>
      <c r="E136" s="398">
        <f>23+41/60</f>
        <v>23.683333333333334</v>
      </c>
      <c r="F136" s="390">
        <f>68+46/60</f>
        <v>68.766666666666666</v>
      </c>
      <c r="G136" s="398">
        <v>1.7467012659700001</v>
      </c>
      <c r="H136" s="390">
        <v>59.486775575599999</v>
      </c>
      <c r="I136" s="391">
        <v>-1.15254929499</v>
      </c>
      <c r="J136" s="390">
        <v>64.634844699200002</v>
      </c>
      <c r="K136" s="426"/>
      <c r="L136" s="399">
        <v>4.72</v>
      </c>
      <c r="M136" s="399"/>
      <c r="N136" s="375">
        <f t="shared" si="11"/>
        <v>23.78</v>
      </c>
      <c r="O136" s="402">
        <v>28.5</v>
      </c>
      <c r="P136" s="375">
        <f t="shared" si="12"/>
        <v>33.22</v>
      </c>
      <c r="Q136" s="375"/>
      <c r="R136" s="399">
        <v>4.72</v>
      </c>
      <c r="S136" s="529" t="s">
        <v>66</v>
      </c>
      <c r="T136" s="521"/>
      <c r="U136" s="521"/>
      <c r="V136" s="521"/>
      <c r="W136" s="521"/>
      <c r="X136" s="400" t="s">
        <v>678</v>
      </c>
      <c r="Y136" s="410" t="s">
        <v>206</v>
      </c>
      <c r="Z136" s="387" t="s">
        <v>77</v>
      </c>
      <c r="AA136" s="385" t="s">
        <v>77</v>
      </c>
      <c r="AB136" s="372" t="s">
        <v>77</v>
      </c>
      <c r="AC136" s="382"/>
      <c r="AD136" s="359"/>
    </row>
    <row r="137" spans="1:30" s="359" customFormat="1" x14ac:dyDescent="0.2">
      <c r="A137" s="371" t="s">
        <v>200</v>
      </c>
      <c r="B137" s="392" t="s">
        <v>48</v>
      </c>
      <c r="C137" s="371" t="s">
        <v>205</v>
      </c>
      <c r="D137" s="372" t="s">
        <v>642</v>
      </c>
      <c r="E137" s="398">
        <f>23+30/60</f>
        <v>23.5</v>
      </c>
      <c r="F137" s="390">
        <f>68+58/60</f>
        <v>68.966666666666669</v>
      </c>
      <c r="G137" s="398">
        <v>1.5091379007100001</v>
      </c>
      <c r="H137" s="390">
        <v>59.5905855643</v>
      </c>
      <c r="I137" s="391">
        <v>-1.3696124574099999</v>
      </c>
      <c r="J137" s="390">
        <v>64.776610335399994</v>
      </c>
      <c r="K137" s="426"/>
      <c r="L137" s="399">
        <v>4.7</v>
      </c>
      <c r="M137" s="399"/>
      <c r="N137" s="375">
        <f t="shared" si="11"/>
        <v>24.2</v>
      </c>
      <c r="O137" s="402">
        <v>28.9</v>
      </c>
      <c r="P137" s="375">
        <f t="shared" si="12"/>
        <v>33.6</v>
      </c>
      <c r="Q137" s="375"/>
      <c r="R137" s="399">
        <v>4.7</v>
      </c>
      <c r="S137" s="529" t="s">
        <v>66</v>
      </c>
      <c r="T137" s="521"/>
      <c r="U137" s="521"/>
      <c r="V137" s="521"/>
      <c r="W137" s="521"/>
      <c r="X137" s="400" t="s">
        <v>678</v>
      </c>
      <c r="Y137" s="410" t="s">
        <v>206</v>
      </c>
      <c r="Z137" s="387" t="s">
        <v>77</v>
      </c>
      <c r="AA137" s="385" t="s">
        <v>77</v>
      </c>
      <c r="AB137" s="372" t="s">
        <v>77</v>
      </c>
      <c r="AC137" s="382"/>
    </row>
    <row r="138" spans="1:30" s="359" customFormat="1" x14ac:dyDescent="0.2">
      <c r="A138" s="371" t="s">
        <v>132</v>
      </c>
      <c r="B138" s="397" t="s">
        <v>50</v>
      </c>
      <c r="C138" s="371" t="s">
        <v>553</v>
      </c>
      <c r="D138" s="372" t="s">
        <v>642</v>
      </c>
      <c r="E138" s="373">
        <v>-37.1</v>
      </c>
      <c r="F138" s="374">
        <v>147.19999999999999</v>
      </c>
      <c r="G138" s="398">
        <v>-62.809375342599999</v>
      </c>
      <c r="H138" s="390">
        <v>150.68937318100001</v>
      </c>
      <c r="I138" s="391">
        <v>-53.114651914900001</v>
      </c>
      <c r="J138" s="390">
        <v>159.68134118200001</v>
      </c>
      <c r="K138" s="426">
        <f t="shared" ref="K138:K145" si="13">I138-G138</f>
        <v>9.6947234276999978</v>
      </c>
      <c r="L138" s="375"/>
      <c r="M138" s="375"/>
      <c r="N138" s="375">
        <f t="shared" si="11"/>
        <v>19</v>
      </c>
      <c r="O138" s="376">
        <v>19</v>
      </c>
      <c r="P138" s="375">
        <f t="shared" si="12"/>
        <v>19</v>
      </c>
      <c r="Q138" s="375"/>
      <c r="R138" s="375"/>
      <c r="S138" s="527" t="s">
        <v>107</v>
      </c>
      <c r="T138" s="521"/>
      <c r="U138" s="521"/>
      <c r="V138" s="521"/>
      <c r="W138" s="521"/>
      <c r="X138" s="412" t="s">
        <v>661</v>
      </c>
      <c r="Y138" s="388" t="s">
        <v>752</v>
      </c>
      <c r="Z138" s="380"/>
      <c r="AA138" s="381" t="s">
        <v>133</v>
      </c>
      <c r="AB138" s="372"/>
      <c r="AC138" s="382"/>
    </row>
    <row r="139" spans="1:30" s="359" customFormat="1" x14ac:dyDescent="0.2">
      <c r="A139" s="371" t="s">
        <v>132</v>
      </c>
      <c r="B139" s="397" t="s">
        <v>50</v>
      </c>
      <c r="C139" s="371" t="s">
        <v>553</v>
      </c>
      <c r="D139" s="372" t="s">
        <v>642</v>
      </c>
      <c r="E139" s="373">
        <v>-37.1</v>
      </c>
      <c r="F139" s="374">
        <v>147.19999999999999</v>
      </c>
      <c r="G139" s="398">
        <v>-62.809375342599999</v>
      </c>
      <c r="H139" s="390">
        <v>150.68937318100001</v>
      </c>
      <c r="I139" s="391">
        <v>-53.114651914900001</v>
      </c>
      <c r="J139" s="390">
        <v>159.68134118200001</v>
      </c>
      <c r="K139" s="426">
        <f t="shared" si="13"/>
        <v>9.6947234276999978</v>
      </c>
      <c r="L139" s="375">
        <v>2.33</v>
      </c>
      <c r="M139" s="375"/>
      <c r="N139" s="375">
        <f t="shared" si="11"/>
        <v>15.569999999999999</v>
      </c>
      <c r="O139" s="376">
        <v>17.899999999999999</v>
      </c>
      <c r="P139" s="375">
        <f t="shared" si="12"/>
        <v>20.229999999999997</v>
      </c>
      <c r="Q139" s="375"/>
      <c r="R139" s="375">
        <v>2.33</v>
      </c>
      <c r="S139" s="527" t="s">
        <v>113</v>
      </c>
      <c r="T139" s="521"/>
      <c r="U139" s="521"/>
      <c r="V139" s="521"/>
      <c r="W139" s="521"/>
      <c r="X139" s="412" t="s">
        <v>662</v>
      </c>
      <c r="Y139" s="388" t="s">
        <v>752</v>
      </c>
      <c r="Z139" s="380" t="s">
        <v>131</v>
      </c>
      <c r="AA139" s="381" t="s">
        <v>133</v>
      </c>
      <c r="AB139" s="372" t="s">
        <v>4</v>
      </c>
      <c r="AC139" s="382"/>
    </row>
    <row r="140" spans="1:30" s="359" customFormat="1" x14ac:dyDescent="0.2">
      <c r="A140" s="371" t="s">
        <v>134</v>
      </c>
      <c r="B140" s="397" t="s">
        <v>50</v>
      </c>
      <c r="C140" s="371" t="s">
        <v>553</v>
      </c>
      <c r="D140" s="372" t="s">
        <v>642</v>
      </c>
      <c r="E140" s="373">
        <v>-38.1</v>
      </c>
      <c r="F140" s="374">
        <v>145.9</v>
      </c>
      <c r="G140" s="398">
        <v>-64.0538669357</v>
      </c>
      <c r="H140" s="390">
        <v>149.089107641</v>
      </c>
      <c r="I140" s="391">
        <v>-54.414165962399998</v>
      </c>
      <c r="J140" s="390">
        <v>158.64933064600001</v>
      </c>
      <c r="K140" s="426">
        <f t="shared" si="13"/>
        <v>9.6397009733000019</v>
      </c>
      <c r="L140" s="375"/>
      <c r="M140" s="375"/>
      <c r="N140" s="375">
        <f t="shared" si="11"/>
        <v>19.600000000000001</v>
      </c>
      <c r="O140" s="376">
        <v>19.600000000000001</v>
      </c>
      <c r="P140" s="375">
        <f t="shared" si="12"/>
        <v>19.600000000000001</v>
      </c>
      <c r="Q140" s="375"/>
      <c r="R140" s="375"/>
      <c r="S140" s="527" t="s">
        <v>107</v>
      </c>
      <c r="T140" s="521"/>
      <c r="U140" s="521"/>
      <c r="V140" s="521"/>
      <c r="W140" s="521"/>
      <c r="X140" s="412" t="s">
        <v>661</v>
      </c>
      <c r="Y140" s="388" t="s">
        <v>752</v>
      </c>
      <c r="Z140" s="380"/>
      <c r="AA140" s="381" t="s">
        <v>133</v>
      </c>
      <c r="AB140" s="372"/>
      <c r="AC140" s="382"/>
    </row>
    <row r="141" spans="1:30" s="359" customFormat="1" ht="12.75" customHeight="1" x14ac:dyDescent="0.2">
      <c r="A141" s="371" t="s">
        <v>134</v>
      </c>
      <c r="B141" s="397" t="s">
        <v>50</v>
      </c>
      <c r="C141" s="371" t="s">
        <v>553</v>
      </c>
      <c r="D141" s="372" t="s">
        <v>642</v>
      </c>
      <c r="E141" s="373">
        <v>-38.1</v>
      </c>
      <c r="F141" s="374">
        <v>145.9</v>
      </c>
      <c r="G141" s="398">
        <v>-64.0538669357</v>
      </c>
      <c r="H141" s="390">
        <v>149.089107641</v>
      </c>
      <c r="I141" s="391">
        <v>-54.414165962399998</v>
      </c>
      <c r="J141" s="390">
        <v>158.64933064600001</v>
      </c>
      <c r="K141" s="426">
        <f t="shared" si="13"/>
        <v>9.6397009733000019</v>
      </c>
      <c r="L141" s="375">
        <v>2.21</v>
      </c>
      <c r="M141" s="375"/>
      <c r="N141" s="375">
        <f t="shared" si="11"/>
        <v>15.989999999999998</v>
      </c>
      <c r="O141" s="376">
        <v>18.2</v>
      </c>
      <c r="P141" s="375">
        <f t="shared" si="12"/>
        <v>20.41</v>
      </c>
      <c r="Q141" s="375"/>
      <c r="R141" s="375">
        <v>2.21</v>
      </c>
      <c r="S141" s="527" t="s">
        <v>113</v>
      </c>
      <c r="T141" s="521"/>
      <c r="U141" s="521"/>
      <c r="V141" s="521"/>
      <c r="W141" s="521"/>
      <c r="X141" s="412" t="s">
        <v>662</v>
      </c>
      <c r="Y141" s="388" t="s">
        <v>752</v>
      </c>
      <c r="Z141" s="380" t="s">
        <v>131</v>
      </c>
      <c r="AA141" s="381" t="s">
        <v>133</v>
      </c>
      <c r="AB141" s="372" t="s">
        <v>4</v>
      </c>
      <c r="AC141" s="382"/>
    </row>
    <row r="142" spans="1:30" s="359" customFormat="1" x14ac:dyDescent="0.2">
      <c r="A142" s="371" t="s">
        <v>135</v>
      </c>
      <c r="B142" s="397" t="s">
        <v>50</v>
      </c>
      <c r="C142" s="371" t="s">
        <v>2</v>
      </c>
      <c r="D142" s="372" t="s">
        <v>642</v>
      </c>
      <c r="E142" s="373">
        <v>-38.4</v>
      </c>
      <c r="F142" s="374">
        <v>143.9</v>
      </c>
      <c r="G142" s="398">
        <v>-64.743731683199996</v>
      </c>
      <c r="H142" s="390">
        <v>145.750080637</v>
      </c>
      <c r="I142" s="391">
        <v>-55.241230122399998</v>
      </c>
      <c r="J142" s="390">
        <v>156.273388068</v>
      </c>
      <c r="K142" s="426">
        <f t="shared" si="13"/>
        <v>9.502501560799999</v>
      </c>
      <c r="L142" s="375"/>
      <c r="M142" s="375"/>
      <c r="N142" s="375">
        <f t="shared" si="11"/>
        <v>18.8</v>
      </c>
      <c r="O142" s="376">
        <v>18.8</v>
      </c>
      <c r="P142" s="375">
        <f t="shared" si="12"/>
        <v>18.8</v>
      </c>
      <c r="Q142" s="375"/>
      <c r="R142" s="375"/>
      <c r="S142" s="529" t="s">
        <v>107</v>
      </c>
      <c r="T142" s="521"/>
      <c r="U142" s="521"/>
      <c r="V142" s="521"/>
      <c r="W142" s="521"/>
      <c r="X142" s="412" t="s">
        <v>661</v>
      </c>
      <c r="Y142" s="388" t="s">
        <v>752</v>
      </c>
      <c r="Z142" s="387"/>
      <c r="AA142" s="381" t="s">
        <v>133</v>
      </c>
      <c r="AB142" s="372" t="s">
        <v>4</v>
      </c>
      <c r="AC142" s="382"/>
      <c r="AD142" s="446"/>
    </row>
    <row r="143" spans="1:30" s="395" customFormat="1" x14ac:dyDescent="0.2">
      <c r="A143" s="411" t="s">
        <v>162</v>
      </c>
      <c r="B143" s="392" t="s">
        <v>52</v>
      </c>
      <c r="C143" s="411" t="s">
        <v>681</v>
      </c>
      <c r="D143" s="392" t="s">
        <v>682</v>
      </c>
      <c r="E143" s="408">
        <v>-62.2</v>
      </c>
      <c r="F143" s="409">
        <v>58.95</v>
      </c>
      <c r="G143" s="398">
        <v>-61.726608071999998</v>
      </c>
      <c r="H143" s="390">
        <v>48.640188217400002</v>
      </c>
      <c r="I143" s="391">
        <v>-64.890602439199995</v>
      </c>
      <c r="J143" s="390">
        <v>72.817806960400006</v>
      </c>
      <c r="K143" s="426">
        <f t="shared" si="13"/>
        <v>-3.1639943671999973</v>
      </c>
      <c r="L143" s="399" t="s">
        <v>650</v>
      </c>
      <c r="M143" s="399"/>
      <c r="N143" s="375"/>
      <c r="O143" s="402">
        <v>11.5</v>
      </c>
      <c r="P143" s="375"/>
      <c r="Q143" s="375"/>
      <c r="R143" s="399" t="s">
        <v>650</v>
      </c>
      <c r="S143" s="532" t="s">
        <v>108</v>
      </c>
      <c r="T143" s="526"/>
      <c r="U143" s="526"/>
      <c r="V143" s="526"/>
      <c r="W143" s="526"/>
      <c r="X143" s="412" t="s">
        <v>662</v>
      </c>
      <c r="Y143" s="388" t="s">
        <v>752</v>
      </c>
      <c r="Z143" s="415" t="s">
        <v>164</v>
      </c>
      <c r="AA143" s="414" t="s">
        <v>660</v>
      </c>
      <c r="AB143" s="392"/>
      <c r="AC143" s="419" t="s">
        <v>683</v>
      </c>
      <c r="AD143" s="359"/>
    </row>
    <row r="144" spans="1:30" s="359" customFormat="1" x14ac:dyDescent="0.2">
      <c r="A144" s="416" t="s">
        <v>162</v>
      </c>
      <c r="B144" s="370" t="s">
        <v>52</v>
      </c>
      <c r="C144" s="411" t="s">
        <v>681</v>
      </c>
      <c r="D144" s="392" t="s">
        <v>682</v>
      </c>
      <c r="E144" s="417">
        <v>-62.2</v>
      </c>
      <c r="F144" s="409">
        <v>58.95</v>
      </c>
      <c r="G144" s="398">
        <v>-61.726608071999998</v>
      </c>
      <c r="H144" s="390">
        <v>48.640188217400002</v>
      </c>
      <c r="I144" s="391">
        <v>-64.890602439199995</v>
      </c>
      <c r="J144" s="390">
        <v>72.817806960400006</v>
      </c>
      <c r="K144" s="426">
        <f t="shared" si="13"/>
        <v>-3.1639943671999973</v>
      </c>
      <c r="L144" s="399" t="s">
        <v>650</v>
      </c>
      <c r="M144" s="399"/>
      <c r="N144" s="375"/>
      <c r="O144" s="402">
        <v>8.8000000000000007</v>
      </c>
      <c r="P144" s="375"/>
      <c r="Q144" s="375"/>
      <c r="R144" s="399" t="s">
        <v>650</v>
      </c>
      <c r="S144" s="530" t="s">
        <v>113</v>
      </c>
      <c r="T144" s="274"/>
      <c r="U144" s="274"/>
      <c r="V144" s="274"/>
      <c r="W144" s="274"/>
      <c r="X144" s="412" t="s">
        <v>662</v>
      </c>
      <c r="Y144" s="388" t="s">
        <v>752</v>
      </c>
      <c r="Z144" s="415"/>
      <c r="AA144" s="418" t="s">
        <v>660</v>
      </c>
      <c r="AB144" s="392"/>
      <c r="AC144" s="419" t="s">
        <v>683</v>
      </c>
    </row>
    <row r="145" spans="1:29" ht="15" thickBot="1" x14ac:dyDescent="0.25">
      <c r="A145" s="447" t="s">
        <v>162</v>
      </c>
      <c r="B145" s="448" t="s">
        <v>52</v>
      </c>
      <c r="C145" s="449" t="s">
        <v>681</v>
      </c>
      <c r="D145" s="450" t="s">
        <v>682</v>
      </c>
      <c r="E145" s="451">
        <v>-62.2</v>
      </c>
      <c r="F145" s="452">
        <v>58.95</v>
      </c>
      <c r="G145" s="565">
        <v>-61.726608071999998</v>
      </c>
      <c r="H145" s="566">
        <v>48.640188217400002</v>
      </c>
      <c r="I145" s="567">
        <v>-64.890602439199995</v>
      </c>
      <c r="J145" s="566">
        <v>72.817806960400006</v>
      </c>
      <c r="K145" s="568">
        <f t="shared" si="13"/>
        <v>-3.1639943671999973</v>
      </c>
      <c r="L145" s="453" t="s">
        <v>650</v>
      </c>
      <c r="M145" s="453"/>
      <c r="N145" s="454"/>
      <c r="O145" s="455">
        <v>11.7</v>
      </c>
      <c r="P145" s="454"/>
      <c r="Q145" s="454"/>
      <c r="R145" s="453" t="s">
        <v>650</v>
      </c>
      <c r="S145" s="539" t="s">
        <v>163</v>
      </c>
      <c r="T145" s="281"/>
      <c r="U145" s="281"/>
      <c r="V145" s="281"/>
      <c r="W145" s="281"/>
      <c r="X145" s="457" t="s">
        <v>662</v>
      </c>
      <c r="Y145" s="458" t="s">
        <v>752</v>
      </c>
      <c r="Z145" s="459"/>
      <c r="AA145" s="456" t="s">
        <v>660</v>
      </c>
      <c r="AB145" s="450"/>
      <c r="AC145" s="460" t="s">
        <v>683</v>
      </c>
    </row>
    <row r="147" spans="1:29" x14ac:dyDescent="0.2">
      <c r="E147" s="390"/>
      <c r="F147" s="390"/>
      <c r="G147" s="569"/>
      <c r="H147" s="569"/>
      <c r="I147" s="570"/>
      <c r="J147" s="569"/>
      <c r="K147" s="461"/>
      <c r="L147" s="461"/>
      <c r="M147" s="461"/>
      <c r="N147" s="461"/>
      <c r="O147" s="462"/>
      <c r="P147" s="461"/>
      <c r="Q147" s="461"/>
      <c r="R147" s="461"/>
      <c r="T147" s="639" t="s">
        <v>186</v>
      </c>
      <c r="U147" s="639"/>
      <c r="V147" s="639" t="s">
        <v>43</v>
      </c>
      <c r="W147" s="639"/>
      <c r="X147" s="640" t="s">
        <v>602</v>
      </c>
      <c r="Y147" s="640"/>
      <c r="Z147" s="461"/>
    </row>
    <row r="148" spans="1:29" ht="12.75" customHeight="1" x14ac:dyDescent="0.2">
      <c r="A148" s="464" t="s">
        <v>69</v>
      </c>
      <c r="S148" s="463" t="s">
        <v>884</v>
      </c>
      <c r="T148" s="470" t="s">
        <v>885</v>
      </c>
      <c r="U148" s="470" t="s">
        <v>886</v>
      </c>
      <c r="V148" s="470" t="s">
        <v>885</v>
      </c>
      <c r="W148" s="470" t="s">
        <v>886</v>
      </c>
      <c r="X148" s="470" t="s">
        <v>885</v>
      </c>
      <c r="Y148" s="470" t="s">
        <v>886</v>
      </c>
    </row>
    <row r="149" spans="1:29" ht="12.75" customHeight="1" x14ac:dyDescent="0.2">
      <c r="A149" s="330" t="s">
        <v>71</v>
      </c>
      <c r="S149" s="551" t="s">
        <v>877</v>
      </c>
      <c r="T149" s="470">
        <f>SUM(V111:V112,V115)</f>
        <v>11</v>
      </c>
      <c r="U149" s="470">
        <f>SUM(W108,W109,W114)</f>
        <v>26</v>
      </c>
      <c r="V149" s="470">
        <f>SUM(V111)</f>
        <v>1</v>
      </c>
      <c r="W149" s="470">
        <f>SUM(W91:W92,W102:W103)</f>
        <v>35</v>
      </c>
      <c r="X149" s="470">
        <f>SUM(V38:V46,V50:V55,V55,V56,V62,V71)</f>
        <v>61</v>
      </c>
      <c r="Y149" s="604">
        <f>SUM(W33,W60,W68,W82,W88)</f>
        <v>84</v>
      </c>
    </row>
    <row r="150" spans="1:29" ht="12.75" customHeight="1" x14ac:dyDescent="0.2">
      <c r="A150" s="330" t="s">
        <v>70</v>
      </c>
      <c r="S150" s="551" t="s">
        <v>878</v>
      </c>
      <c r="T150" s="470">
        <f>SUM(V116)</f>
        <v>1</v>
      </c>
      <c r="U150" s="470">
        <v>0</v>
      </c>
      <c r="V150" s="470">
        <f>SUM(V96:V100)</f>
        <v>5</v>
      </c>
      <c r="W150" s="470">
        <v>0</v>
      </c>
      <c r="X150" s="470">
        <f>SUM(V10,V12,V13,V14,V17,V19:V22,V26:V27,V36,V78:V79)</f>
        <v>34</v>
      </c>
      <c r="Y150" s="605">
        <v>0</v>
      </c>
    </row>
    <row r="151" spans="1:29" ht="12.75" customHeight="1" x14ac:dyDescent="0.2">
      <c r="A151" s="337" t="s">
        <v>176</v>
      </c>
      <c r="S151" s="551" t="s">
        <v>108</v>
      </c>
      <c r="T151" s="470">
        <v>0</v>
      </c>
      <c r="U151" s="470">
        <v>0</v>
      </c>
      <c r="V151" s="470">
        <v>1</v>
      </c>
      <c r="W151" s="470">
        <v>0</v>
      </c>
      <c r="X151" s="470">
        <f>SUM(V15,V16,V18,V23,V28:V31,V61)</f>
        <v>14</v>
      </c>
      <c r="Y151" s="605">
        <v>0</v>
      </c>
    </row>
    <row r="152" spans="1:29" ht="12.75" customHeight="1" x14ac:dyDescent="0.2">
      <c r="A152" s="330" t="s">
        <v>73</v>
      </c>
      <c r="S152" s="551" t="s">
        <v>879</v>
      </c>
      <c r="T152" s="470">
        <v>0</v>
      </c>
      <c r="U152" s="470">
        <v>0</v>
      </c>
      <c r="V152" s="470">
        <f>SUM(V94:V95)</f>
        <v>2</v>
      </c>
      <c r="W152" s="470">
        <v>0</v>
      </c>
      <c r="X152" s="470">
        <f>SUM(V24:V25,V65:V67,V72,V73,V74,V75,V76,V77,V81,V85:V86)</f>
        <v>14</v>
      </c>
      <c r="Y152" s="605">
        <v>0</v>
      </c>
    </row>
    <row r="153" spans="1:29" ht="12.75" customHeight="1" x14ac:dyDescent="0.2">
      <c r="A153" s="330" t="s">
        <v>74</v>
      </c>
      <c r="S153" s="551" t="s">
        <v>880</v>
      </c>
      <c r="T153" s="470">
        <f>SUM(V117)</f>
        <v>1</v>
      </c>
      <c r="U153" s="470">
        <v>0</v>
      </c>
      <c r="V153" s="470">
        <f>SUM(V90,V105:V106)</f>
        <v>9</v>
      </c>
      <c r="W153" s="470">
        <v>0</v>
      </c>
      <c r="X153" s="470">
        <f>SUM(V8,V11,V69,V70,V83:V84,V87)</f>
        <v>188</v>
      </c>
      <c r="Y153" s="605">
        <v>0</v>
      </c>
    </row>
    <row r="154" spans="1:29" ht="12.75" customHeight="1" x14ac:dyDescent="0.2">
      <c r="A154" s="330" t="s">
        <v>72</v>
      </c>
      <c r="S154" s="551" t="s">
        <v>881</v>
      </c>
      <c r="T154" s="470">
        <v>0</v>
      </c>
      <c r="U154" s="470">
        <v>0</v>
      </c>
      <c r="V154" s="470">
        <v>0</v>
      </c>
      <c r="W154" s="470">
        <v>0</v>
      </c>
      <c r="X154" s="470">
        <f>SUM(T154:W154,V9,V32,V34:V35,V47:V48,V49,V57:V59)</f>
        <v>24</v>
      </c>
      <c r="Y154" s="605">
        <v>0</v>
      </c>
    </row>
    <row r="155" spans="1:29" ht="12.75" customHeight="1" x14ac:dyDescent="0.2">
      <c r="A155" s="330" t="s">
        <v>104</v>
      </c>
      <c r="S155" s="551" t="s">
        <v>882</v>
      </c>
      <c r="T155" s="470">
        <f>SUM(V110,V113)</f>
        <v>4</v>
      </c>
      <c r="U155" s="470">
        <v>0</v>
      </c>
      <c r="V155" s="470">
        <v>4</v>
      </c>
      <c r="W155" s="470">
        <v>0</v>
      </c>
      <c r="X155" s="470">
        <f>SUM(V34,V47,V59)</f>
        <v>11</v>
      </c>
      <c r="Y155" s="605">
        <v>0</v>
      </c>
    </row>
    <row r="156" spans="1:29" ht="12.75" customHeight="1" x14ac:dyDescent="0.2">
      <c r="A156" s="330" t="s">
        <v>174</v>
      </c>
      <c r="S156" s="551" t="s">
        <v>883</v>
      </c>
      <c r="T156" s="470">
        <v>0</v>
      </c>
      <c r="U156" s="470">
        <v>0</v>
      </c>
      <c r="V156" s="470">
        <v>0</v>
      </c>
      <c r="W156" s="470">
        <v>0</v>
      </c>
      <c r="X156" s="606">
        <v>0</v>
      </c>
      <c r="Y156" s="604">
        <f>SUM(W37,W63:W64)</f>
        <v>0</v>
      </c>
    </row>
    <row r="157" spans="1:29" ht="12.75" customHeight="1" x14ac:dyDescent="0.2">
      <c r="A157" s="330" t="s">
        <v>175</v>
      </c>
    </row>
    <row r="158" spans="1:29" x14ac:dyDescent="0.2">
      <c r="G158" s="461"/>
      <c r="H158" s="461"/>
      <c r="I158" s="462"/>
      <c r="J158" s="461"/>
      <c r="K158" s="461"/>
      <c r="L158" s="461"/>
      <c r="M158" s="461"/>
      <c r="N158" s="461"/>
    </row>
    <row r="159" spans="1:29" x14ac:dyDescent="0.2">
      <c r="G159" s="461"/>
      <c r="H159" s="461"/>
      <c r="I159" s="462"/>
      <c r="J159" s="461"/>
      <c r="K159" s="461"/>
      <c r="L159" s="461"/>
      <c r="M159" s="461"/>
      <c r="N159" s="461"/>
    </row>
    <row r="160" spans="1:29" x14ac:dyDescent="0.2">
      <c r="G160" s="461"/>
      <c r="H160" s="461"/>
      <c r="I160" s="462"/>
      <c r="J160" s="461"/>
      <c r="K160" s="461"/>
      <c r="L160" s="461"/>
      <c r="M160" s="461"/>
      <c r="N160" s="461"/>
    </row>
    <row r="161" spans="7:14" x14ac:dyDescent="0.2">
      <c r="G161" s="461"/>
      <c r="H161" s="461"/>
      <c r="I161" s="462"/>
      <c r="J161" s="461"/>
      <c r="K161" s="461"/>
      <c r="L161" s="461"/>
      <c r="M161" s="461"/>
      <c r="N161" s="461"/>
    </row>
    <row r="162" spans="7:14" x14ac:dyDescent="0.2">
      <c r="G162" s="461"/>
      <c r="H162" s="461"/>
      <c r="I162" s="462"/>
      <c r="J162" s="461"/>
      <c r="K162" s="461"/>
      <c r="L162" s="461"/>
      <c r="M162" s="461"/>
      <c r="N162" s="461"/>
    </row>
    <row r="163" spans="7:14" x14ac:dyDescent="0.2">
      <c r="G163" s="461"/>
      <c r="H163" s="461"/>
      <c r="I163" s="462"/>
      <c r="J163" s="461"/>
      <c r="K163" s="461"/>
      <c r="L163" s="461"/>
      <c r="M163" s="461"/>
      <c r="N163" s="461"/>
    </row>
    <row r="164" spans="7:14" x14ac:dyDescent="0.2">
      <c r="G164" s="461"/>
      <c r="H164" s="461"/>
      <c r="I164" s="462"/>
      <c r="J164" s="461"/>
      <c r="K164" s="461"/>
      <c r="L164" s="461"/>
      <c r="M164" s="461"/>
      <c r="N164" s="461"/>
    </row>
    <row r="165" spans="7:14" x14ac:dyDescent="0.2">
      <c r="G165" s="461"/>
      <c r="H165" s="461"/>
      <c r="I165" s="462"/>
      <c r="J165" s="461"/>
      <c r="K165" s="461"/>
      <c r="L165" s="461"/>
      <c r="M165" s="461"/>
      <c r="N165" s="461"/>
    </row>
    <row r="166" spans="7:14" x14ac:dyDescent="0.2">
      <c r="G166" s="461"/>
      <c r="H166" s="461"/>
      <c r="I166" s="462"/>
      <c r="J166" s="461"/>
      <c r="K166" s="461"/>
      <c r="L166" s="461"/>
      <c r="M166" s="461"/>
      <c r="N166" s="461"/>
    </row>
    <row r="167" spans="7:14" x14ac:dyDescent="0.2">
      <c r="G167" s="461"/>
      <c r="H167" s="461"/>
      <c r="I167" s="462"/>
      <c r="J167" s="461"/>
      <c r="K167" s="461"/>
      <c r="L167" s="461"/>
      <c r="M167" s="461"/>
      <c r="N167" s="461"/>
    </row>
    <row r="171" spans="7:14" x14ac:dyDescent="0.2">
      <c r="G171" s="461"/>
      <c r="H171" s="461"/>
      <c r="I171" s="462"/>
      <c r="J171" s="461"/>
      <c r="K171" s="461"/>
      <c r="L171" s="461"/>
      <c r="M171" s="461"/>
      <c r="N171" s="461"/>
    </row>
    <row r="172" spans="7:14" x14ac:dyDescent="0.2">
      <c r="G172" s="461"/>
      <c r="H172" s="461"/>
      <c r="I172" s="462"/>
      <c r="J172" s="461"/>
      <c r="K172" s="461"/>
      <c r="L172" s="461"/>
      <c r="M172" s="461"/>
      <c r="N172" s="461"/>
    </row>
    <row r="173" spans="7:14" x14ac:dyDescent="0.2">
      <c r="G173" s="461"/>
      <c r="H173" s="461"/>
      <c r="I173" s="462"/>
      <c r="J173" s="461"/>
      <c r="K173" s="461"/>
      <c r="L173" s="461"/>
      <c r="M173" s="461"/>
      <c r="N173" s="461"/>
    </row>
    <row r="174" spans="7:14" x14ac:dyDescent="0.2">
      <c r="G174" s="571"/>
      <c r="H174" s="571"/>
      <c r="I174" s="572"/>
      <c r="J174" s="571"/>
      <c r="K174" s="571"/>
      <c r="L174" s="461"/>
      <c r="M174" s="461"/>
      <c r="N174" s="461"/>
    </row>
    <row r="175" spans="7:14" x14ac:dyDescent="0.2">
      <c r="G175" s="571"/>
      <c r="H175" s="571"/>
      <c r="I175" s="572"/>
      <c r="J175" s="571"/>
      <c r="K175" s="571"/>
      <c r="L175" s="461"/>
      <c r="M175" s="461"/>
      <c r="N175" s="461"/>
    </row>
    <row r="176" spans="7:14" x14ac:dyDescent="0.2">
      <c r="G176" s="461"/>
      <c r="H176" s="461"/>
      <c r="I176" s="462"/>
      <c r="J176" s="461"/>
      <c r="K176" s="461"/>
      <c r="L176" s="461"/>
      <c r="M176" s="461"/>
      <c r="N176" s="461"/>
    </row>
    <row r="177" spans="7:14" x14ac:dyDescent="0.2">
      <c r="G177" s="461"/>
      <c r="H177" s="461"/>
      <c r="I177" s="462"/>
      <c r="J177" s="461"/>
      <c r="K177" s="461"/>
      <c r="L177" s="461"/>
      <c r="M177" s="461"/>
      <c r="N177" s="461"/>
    </row>
    <row r="178" spans="7:14" x14ac:dyDescent="0.2">
      <c r="G178" s="461"/>
      <c r="H178" s="461"/>
      <c r="I178" s="462"/>
      <c r="J178" s="461"/>
      <c r="K178" s="461"/>
      <c r="L178" s="461"/>
      <c r="M178" s="461"/>
      <c r="N178" s="461"/>
    </row>
    <row r="179" spans="7:14" x14ac:dyDescent="0.2">
      <c r="G179" s="461"/>
      <c r="H179" s="461"/>
      <c r="I179" s="462"/>
      <c r="J179" s="461"/>
      <c r="K179" s="461"/>
      <c r="L179" s="461"/>
      <c r="M179" s="461"/>
      <c r="N179" s="461"/>
    </row>
    <row r="180" spans="7:14" x14ac:dyDescent="0.2">
      <c r="G180" s="461"/>
      <c r="H180" s="461"/>
      <c r="I180" s="462"/>
      <c r="J180" s="461"/>
      <c r="K180" s="461"/>
      <c r="L180" s="461"/>
      <c r="M180" s="461"/>
      <c r="N180" s="461"/>
    </row>
    <row r="181" spans="7:14" x14ac:dyDescent="0.2">
      <c r="G181" s="461"/>
      <c r="H181" s="461"/>
      <c r="I181" s="462"/>
      <c r="J181" s="461"/>
      <c r="K181" s="461"/>
      <c r="L181" s="461"/>
      <c r="M181" s="461"/>
      <c r="N181" s="461"/>
    </row>
    <row r="182" spans="7:14" x14ac:dyDescent="0.2">
      <c r="G182" s="571"/>
      <c r="H182" s="571"/>
      <c r="I182" s="572"/>
      <c r="J182" s="571"/>
      <c r="K182" s="571"/>
      <c r="L182" s="461"/>
      <c r="M182" s="461"/>
      <c r="N182" s="461"/>
    </row>
    <row r="183" spans="7:14" x14ac:dyDescent="0.2">
      <c r="G183" s="461"/>
      <c r="H183" s="461"/>
      <c r="I183" s="462"/>
      <c r="J183" s="461"/>
      <c r="K183" s="461"/>
      <c r="L183" s="461"/>
      <c r="M183" s="461"/>
      <c r="N183" s="461"/>
    </row>
    <row r="184" spans="7:14" x14ac:dyDescent="0.2">
      <c r="G184" s="461"/>
      <c r="H184" s="461"/>
      <c r="I184" s="462"/>
      <c r="J184" s="461"/>
      <c r="K184" s="461"/>
      <c r="L184" s="461"/>
      <c r="M184" s="461"/>
      <c r="N184" s="461"/>
    </row>
    <row r="185" spans="7:14" x14ac:dyDescent="0.2">
      <c r="G185" s="461"/>
      <c r="H185" s="461"/>
      <c r="I185" s="462"/>
      <c r="J185" s="461"/>
      <c r="K185" s="461"/>
      <c r="L185" s="461"/>
      <c r="M185" s="461"/>
      <c r="N185" s="461"/>
    </row>
    <row r="186" spans="7:14" x14ac:dyDescent="0.2">
      <c r="G186" s="461"/>
      <c r="H186" s="461"/>
      <c r="I186" s="462"/>
      <c r="J186" s="461"/>
      <c r="K186" s="461"/>
      <c r="L186" s="461"/>
      <c r="M186" s="461"/>
      <c r="N186" s="461"/>
    </row>
    <row r="187" spans="7:14" x14ac:dyDescent="0.2">
      <c r="G187" s="461"/>
      <c r="H187" s="461"/>
      <c r="I187" s="462"/>
      <c r="J187" s="461"/>
      <c r="K187" s="461"/>
      <c r="L187" s="461"/>
      <c r="M187" s="461"/>
      <c r="N187" s="461"/>
    </row>
    <row r="188" spans="7:14" x14ac:dyDescent="0.2">
      <c r="G188" s="461"/>
      <c r="H188" s="461"/>
      <c r="I188" s="462"/>
      <c r="J188" s="461"/>
      <c r="K188" s="461"/>
      <c r="L188" s="461"/>
      <c r="M188" s="461"/>
      <c r="N188" s="461"/>
    </row>
    <row r="189" spans="7:14" x14ac:dyDescent="0.2">
      <c r="G189" s="461"/>
      <c r="H189" s="461"/>
      <c r="I189" s="462"/>
      <c r="J189" s="461"/>
      <c r="K189" s="461"/>
      <c r="L189" s="461"/>
      <c r="M189" s="461"/>
      <c r="N189" s="461"/>
    </row>
    <row r="190" spans="7:14" x14ac:dyDescent="0.2">
      <c r="G190" s="461"/>
      <c r="H190" s="461"/>
      <c r="I190" s="462"/>
      <c r="J190" s="461"/>
      <c r="K190" s="461"/>
      <c r="L190" s="461"/>
      <c r="M190" s="461"/>
      <c r="N190" s="461"/>
    </row>
    <row r="191" spans="7:14" x14ac:dyDescent="0.2">
      <c r="G191" s="461"/>
      <c r="H191" s="461"/>
      <c r="I191" s="462"/>
      <c r="J191" s="461"/>
      <c r="K191" s="461"/>
      <c r="L191" s="461"/>
      <c r="M191" s="461"/>
      <c r="N191" s="461"/>
    </row>
    <row r="192" spans="7:14" x14ac:dyDescent="0.2">
      <c r="G192" s="461"/>
      <c r="H192" s="461"/>
      <c r="I192" s="462"/>
      <c r="J192" s="461"/>
      <c r="K192" s="461"/>
      <c r="L192" s="461"/>
      <c r="M192" s="461"/>
      <c r="N192" s="461"/>
    </row>
    <row r="193" spans="7:14" x14ac:dyDescent="0.2">
      <c r="G193" s="461"/>
      <c r="H193" s="461"/>
      <c r="I193" s="462"/>
      <c r="J193" s="461"/>
      <c r="K193" s="461"/>
      <c r="L193" s="461"/>
      <c r="M193" s="461"/>
      <c r="N193" s="461"/>
    </row>
    <row r="194" spans="7:14" x14ac:dyDescent="0.2">
      <c r="G194" s="461"/>
      <c r="H194" s="461"/>
      <c r="I194" s="462"/>
      <c r="J194" s="461"/>
      <c r="K194" s="461"/>
      <c r="L194" s="461"/>
      <c r="M194" s="461"/>
      <c r="N194" s="461"/>
    </row>
    <row r="195" spans="7:14" x14ac:dyDescent="0.2">
      <c r="G195" s="461"/>
      <c r="H195" s="461"/>
      <c r="I195" s="462"/>
      <c r="J195" s="461"/>
      <c r="K195" s="461"/>
      <c r="L195" s="461"/>
      <c r="M195" s="461"/>
      <c r="N195" s="461"/>
    </row>
    <row r="196" spans="7:14" x14ac:dyDescent="0.2">
      <c r="G196" s="461"/>
      <c r="H196" s="461"/>
      <c r="I196" s="462"/>
      <c r="J196" s="461"/>
      <c r="K196" s="461"/>
      <c r="L196" s="461"/>
      <c r="M196" s="461"/>
      <c r="N196" s="461"/>
    </row>
    <row r="197" spans="7:14" x14ac:dyDescent="0.2">
      <c r="G197" s="571"/>
      <c r="H197" s="571"/>
      <c r="I197" s="572"/>
      <c r="J197" s="571"/>
      <c r="K197" s="571"/>
      <c r="L197" s="461"/>
      <c r="M197" s="461"/>
      <c r="N197" s="461"/>
    </row>
    <row r="198" spans="7:14" x14ac:dyDescent="0.2">
      <c r="G198" s="571"/>
      <c r="H198" s="571"/>
      <c r="I198" s="572"/>
      <c r="J198" s="571"/>
      <c r="K198" s="571"/>
      <c r="L198" s="461"/>
      <c r="M198" s="461"/>
      <c r="N198" s="461"/>
    </row>
    <row r="199" spans="7:14" x14ac:dyDescent="0.2">
      <c r="G199" s="571"/>
      <c r="H199" s="571"/>
      <c r="I199" s="572"/>
      <c r="J199" s="571"/>
      <c r="K199" s="571"/>
      <c r="L199" s="461"/>
      <c r="M199" s="461"/>
      <c r="N199" s="461"/>
    </row>
    <row r="200" spans="7:14" x14ac:dyDescent="0.2">
      <c r="G200" s="573"/>
      <c r="H200" s="573"/>
      <c r="I200" s="574"/>
      <c r="J200" s="573"/>
      <c r="K200" s="573"/>
    </row>
    <row r="202" spans="7:14" x14ac:dyDescent="0.2">
      <c r="G202" s="461"/>
      <c r="H202" s="461"/>
      <c r="I202" s="462"/>
      <c r="J202" s="461"/>
      <c r="K202" s="461"/>
      <c r="L202" s="461"/>
      <c r="M202" s="461"/>
      <c r="N202" s="461"/>
    </row>
    <row r="203" spans="7:14" x14ac:dyDescent="0.2">
      <c r="G203" s="461"/>
      <c r="H203" s="461"/>
      <c r="I203" s="462"/>
      <c r="J203" s="461"/>
      <c r="K203" s="461"/>
      <c r="L203" s="461"/>
      <c r="M203" s="461"/>
      <c r="N203" s="461"/>
    </row>
    <row r="204" spans="7:14" x14ac:dyDescent="0.2">
      <c r="G204" s="461"/>
      <c r="H204" s="461"/>
      <c r="I204" s="462"/>
      <c r="J204" s="461"/>
      <c r="K204" s="461"/>
      <c r="L204" s="461"/>
      <c r="M204" s="461"/>
      <c r="N204" s="461"/>
    </row>
    <row r="205" spans="7:14" x14ac:dyDescent="0.2">
      <c r="G205" s="461"/>
      <c r="H205" s="461"/>
      <c r="I205" s="462"/>
      <c r="J205" s="461"/>
      <c r="K205" s="461"/>
      <c r="L205" s="461"/>
      <c r="M205" s="461"/>
      <c r="N205" s="461"/>
    </row>
  </sheetData>
  <sortState xmlns:xlrd2="http://schemas.microsoft.com/office/spreadsheetml/2017/richdata2" ref="A108:AD117">
    <sortCondition descending="1" ref="I108:I117"/>
  </sortState>
  <mergeCells count="8">
    <mergeCell ref="A3:R4"/>
    <mergeCell ref="V6:W6"/>
    <mergeCell ref="T147:U147"/>
    <mergeCell ref="V147:W147"/>
    <mergeCell ref="X147:Y147"/>
    <mergeCell ref="G6:H6"/>
    <mergeCell ref="I6:J6"/>
    <mergeCell ref="L6:R6"/>
  </mergeCells>
  <hyperlinks>
    <hyperlink ref="AB128" r:id="rId1" xr:uid="{00000000-0004-0000-0100-000000000000}"/>
    <hyperlink ref="AB122" r:id="rId2" xr:uid="{00000000-0004-0000-0100-000001000000}"/>
    <hyperlink ref="AB23" r:id="rId3" xr:uid="{00000000-0004-0000-0100-000002000000}"/>
    <hyperlink ref="AB16" r:id="rId4" xr:uid="{00000000-0004-0000-0100-000003000000}"/>
    <hyperlink ref="AB28" r:id="rId5" xr:uid="{00000000-0004-0000-0100-000004000000}"/>
    <hyperlink ref="AB15" r:id="rId6" xr:uid="{00000000-0004-0000-0100-000005000000}"/>
    <hyperlink ref="AB29" r:id="rId7" xr:uid="{00000000-0004-0000-0100-000006000000}"/>
    <hyperlink ref="AB31" r:id="rId8" xr:uid="{00000000-0004-0000-0100-000007000000}"/>
    <hyperlink ref="AB30" r:id="rId9" xr:uid="{00000000-0004-0000-0100-000008000000}"/>
    <hyperlink ref="AB104" r:id="rId10" xr:uid="{00000000-0004-0000-0100-000009000000}"/>
  </hyperlinks>
  <pageMargins left="0.70866141732283472" right="0.70866141732283472" top="0.74803149606299213" bottom="0.74803149606299213" header="0.31496062992125984" footer="0.31496062992125984"/>
  <pageSetup paperSize="8" scale="60" fitToHeight="0" orientation="landscape"/>
  <legacyDrawing r:id="rId1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CD9BD-9B79-1340-8EB6-943D2A32013B}">
  <dimension ref="A1:AH39"/>
  <sheetViews>
    <sheetView topLeftCell="Q1" workbookViewId="0">
      <selection activeCell="AF2" sqref="AF2:AH39"/>
    </sheetView>
  </sheetViews>
  <sheetFormatPr baseColWidth="10" defaultRowHeight="15" x14ac:dyDescent="0.2"/>
  <sheetData>
    <row r="1" spans="1:34" x14ac:dyDescent="0.2">
      <c r="A1" t="s">
        <v>938</v>
      </c>
      <c r="B1" t="s">
        <v>939</v>
      </c>
      <c r="C1" t="s">
        <v>491</v>
      </c>
      <c r="D1" t="s">
        <v>492</v>
      </c>
      <c r="E1" t="s">
        <v>225</v>
      </c>
      <c r="F1" t="s">
        <v>493</v>
      </c>
      <c r="G1" t="s">
        <v>226</v>
      </c>
      <c r="H1" t="s">
        <v>494</v>
      </c>
      <c r="I1" t="s">
        <v>979</v>
      </c>
      <c r="J1" t="s">
        <v>940</v>
      </c>
      <c r="K1" t="s">
        <v>487</v>
      </c>
      <c r="L1" t="s">
        <v>488</v>
      </c>
      <c r="M1" t="s">
        <v>489</v>
      </c>
      <c r="N1" t="s">
        <v>490</v>
      </c>
      <c r="O1" t="s">
        <v>484</v>
      </c>
      <c r="P1" t="s">
        <v>227</v>
      </c>
      <c r="Q1" t="s">
        <v>228</v>
      </c>
      <c r="R1" t="s">
        <v>980</v>
      </c>
      <c r="T1" t="s">
        <v>491</v>
      </c>
      <c r="U1" t="s">
        <v>492</v>
      </c>
      <c r="V1" t="s">
        <v>225</v>
      </c>
      <c r="W1" t="s">
        <v>493</v>
      </c>
      <c r="X1" t="s">
        <v>226</v>
      </c>
      <c r="Y1" t="s">
        <v>494</v>
      </c>
      <c r="Z1" t="s">
        <v>979</v>
      </c>
      <c r="AA1" t="s">
        <v>940</v>
      </c>
      <c r="AB1" t="s">
        <v>487</v>
      </c>
      <c r="AC1" t="s">
        <v>488</v>
      </c>
      <c r="AD1" t="s">
        <v>489</v>
      </c>
      <c r="AE1" t="s">
        <v>490</v>
      </c>
      <c r="AF1" t="s">
        <v>484</v>
      </c>
      <c r="AG1" t="s">
        <v>227</v>
      </c>
      <c r="AH1" t="s">
        <v>228</v>
      </c>
    </row>
    <row r="2" spans="1:34" x14ac:dyDescent="0.2">
      <c r="A2" t="s">
        <v>941</v>
      </c>
      <c r="B2">
        <v>3.32</v>
      </c>
      <c r="C2" s="655">
        <v>8770</v>
      </c>
      <c r="D2" s="655">
        <v>3510</v>
      </c>
      <c r="I2" s="655">
        <v>43800</v>
      </c>
      <c r="J2" s="655">
        <v>9240</v>
      </c>
      <c r="O2" s="655">
        <v>324000</v>
      </c>
      <c r="P2" s="655">
        <v>21200</v>
      </c>
      <c r="Q2" s="655">
        <v>7840</v>
      </c>
      <c r="R2" s="655">
        <f>SUM(C2:Q2)</f>
        <v>418360</v>
      </c>
      <c r="T2" s="35">
        <f>C2/$R2</f>
        <v>2.0962807151735346E-2</v>
      </c>
      <c r="U2" s="35">
        <f>D2/$R2</f>
        <v>8.3899034324505205E-3</v>
      </c>
      <c r="V2" s="35">
        <f>E2/$R2</f>
        <v>0</v>
      </c>
      <c r="W2" s="35">
        <f>F2/$R2</f>
        <v>0</v>
      </c>
      <c r="X2" s="35">
        <f>G2/$R2</f>
        <v>0</v>
      </c>
      <c r="Y2" s="35">
        <f>H2/$R2</f>
        <v>0</v>
      </c>
      <c r="Z2" s="35">
        <f>I2/$R2</f>
        <v>0.10469452146476718</v>
      </c>
      <c r="AA2" s="35">
        <f>J2/$R2</f>
        <v>2.2086241514485131E-2</v>
      </c>
      <c r="AB2" s="35">
        <f>K2/$R2</f>
        <v>0</v>
      </c>
      <c r="AC2" s="35">
        <f>L2/$R2</f>
        <v>0</v>
      </c>
      <c r="AD2" s="35">
        <f>M2/$R2</f>
        <v>0</v>
      </c>
      <c r="AE2" s="35">
        <f>N2/$R2</f>
        <v>0</v>
      </c>
      <c r="AF2" s="35">
        <f>O2/$R2</f>
        <v>0.7744526245338943</v>
      </c>
      <c r="AG2" s="35">
        <f>P2/$R2</f>
        <v>5.0674060617649869E-2</v>
      </c>
      <c r="AH2" s="35">
        <f>Q2/$R2</f>
        <v>1.8739841285017687E-2</v>
      </c>
    </row>
    <row r="3" spans="1:34" x14ac:dyDescent="0.2">
      <c r="A3" t="s">
        <v>942</v>
      </c>
      <c r="B3">
        <v>6.55</v>
      </c>
      <c r="C3" s="655">
        <v>684000</v>
      </c>
      <c r="D3" s="655">
        <v>271000</v>
      </c>
      <c r="E3" s="655">
        <v>40900</v>
      </c>
      <c r="F3" s="655">
        <v>84200</v>
      </c>
      <c r="G3" s="655">
        <v>8330</v>
      </c>
      <c r="H3" s="655">
        <v>16800</v>
      </c>
      <c r="I3" s="655">
        <v>4170000</v>
      </c>
      <c r="J3" s="655">
        <v>985000</v>
      </c>
      <c r="K3" s="655">
        <v>276000</v>
      </c>
      <c r="L3" s="655">
        <v>152000</v>
      </c>
      <c r="M3" s="655">
        <v>116000</v>
      </c>
      <c r="N3" s="655">
        <v>30700</v>
      </c>
      <c r="O3" s="655">
        <v>22700000</v>
      </c>
      <c r="P3" s="655">
        <v>1480000</v>
      </c>
      <c r="Q3" s="655">
        <v>641000</v>
      </c>
      <c r="R3" s="655">
        <f t="shared" ref="R3:R39" si="0">SUM(C3:Q3)</f>
        <v>31655930</v>
      </c>
      <c r="T3" s="35">
        <f t="shared" ref="T3:T39" si="1">C3/$R3</f>
        <v>2.1607326020748718E-2</v>
      </c>
      <c r="U3" s="35">
        <f t="shared" ref="U3:U39" si="2">D3/$R3</f>
        <v>8.5607972976943017E-3</v>
      </c>
      <c r="V3" s="35">
        <f t="shared" ref="V3:V39" si="3">E3/$R3</f>
        <v>1.2920170091354133E-3</v>
      </c>
      <c r="W3" s="35">
        <f t="shared" ref="W3:W39" si="4">F3/$R3</f>
        <v>2.6598491972909975E-3</v>
      </c>
      <c r="X3" s="35">
        <f t="shared" ref="X3:X39" si="5">G3/$R3</f>
        <v>2.6314185051584329E-4</v>
      </c>
      <c r="Y3" s="35">
        <f t="shared" ref="Y3:Y39" si="6">H3/$R3</f>
        <v>5.3070625314119663E-4</v>
      </c>
      <c r="Z3" s="35">
        <f t="shared" ref="Z3:Z39" si="7">I3/$R3</f>
        <v>0.131728873547547</v>
      </c>
      <c r="AA3" s="35">
        <f t="shared" ref="AA3:AA39" si="8">J3/$R3</f>
        <v>3.1115813056195159E-2</v>
      </c>
      <c r="AB3" s="35">
        <f t="shared" ref="AB3:AB39" si="9">K3/$R3</f>
        <v>8.7187455873196582E-3</v>
      </c>
      <c r="AC3" s="35">
        <f t="shared" ref="AC3:AC39" si="10">L3/$R3</f>
        <v>4.8016280046108261E-3</v>
      </c>
      <c r="AD3" s="35">
        <f t="shared" ref="AD3:AD39" si="11">M3/$R3</f>
        <v>3.6644003193082625E-3</v>
      </c>
      <c r="AE3" s="35">
        <f t="shared" ref="AE3:AE39" si="12">N3/$R3</f>
        <v>9.6980249829968664E-4</v>
      </c>
      <c r="AF3" s="35">
        <f t="shared" ref="AF3:AF39" si="13">O3/$R3</f>
        <v>0.7170852348991168</v>
      </c>
      <c r="AG3" s="35">
        <f t="shared" ref="AG3:AG39" si="14">P3/$R3</f>
        <v>4.6752693729105413E-2</v>
      </c>
      <c r="AH3" s="35">
        <f t="shared" ref="AH3:AH39" si="15">Q3/$R3</f>
        <v>2.0248970729970655E-2</v>
      </c>
    </row>
    <row r="4" spans="1:34" x14ac:dyDescent="0.2">
      <c r="A4" t="s">
        <v>943</v>
      </c>
      <c r="B4">
        <v>9.82</v>
      </c>
      <c r="C4" s="655">
        <v>11300</v>
      </c>
      <c r="D4" s="655">
        <v>4210</v>
      </c>
      <c r="I4" s="655">
        <v>81400</v>
      </c>
      <c r="J4" s="655">
        <v>16600</v>
      </c>
      <c r="O4" s="655">
        <v>585000</v>
      </c>
      <c r="P4" s="655">
        <v>32200</v>
      </c>
      <c r="Q4" s="655">
        <v>14400</v>
      </c>
      <c r="R4" s="655">
        <f t="shared" si="0"/>
        <v>745110</v>
      </c>
      <c r="T4" s="35">
        <f t="shared" si="1"/>
        <v>1.5165546026761149E-2</v>
      </c>
      <c r="U4" s="35">
        <f t="shared" si="2"/>
        <v>5.6501724577579151E-3</v>
      </c>
      <c r="V4" s="35">
        <f t="shared" si="3"/>
        <v>0</v>
      </c>
      <c r="W4" s="35">
        <f t="shared" si="4"/>
        <v>0</v>
      </c>
      <c r="X4" s="35">
        <f t="shared" si="5"/>
        <v>0</v>
      </c>
      <c r="Y4" s="35">
        <f t="shared" si="6"/>
        <v>0</v>
      </c>
      <c r="Z4" s="35">
        <f t="shared" si="7"/>
        <v>0.10924561474144757</v>
      </c>
      <c r="AA4" s="35">
        <f t="shared" si="8"/>
        <v>2.2278589738427883E-2</v>
      </c>
      <c r="AB4" s="35">
        <f t="shared" si="9"/>
        <v>0</v>
      </c>
      <c r="AC4" s="35">
        <f t="shared" si="10"/>
        <v>0</v>
      </c>
      <c r="AD4" s="35">
        <f t="shared" si="11"/>
        <v>0</v>
      </c>
      <c r="AE4" s="35">
        <f t="shared" si="12"/>
        <v>0</v>
      </c>
      <c r="AF4" s="35">
        <f t="shared" si="13"/>
        <v>0.78511897572170553</v>
      </c>
      <c r="AG4" s="35">
        <f t="shared" si="14"/>
        <v>4.3215095757673364E-2</v>
      </c>
      <c r="AH4" s="35">
        <f t="shared" si="15"/>
        <v>1.9326005556226596E-2</v>
      </c>
    </row>
    <row r="5" spans="1:34" x14ac:dyDescent="0.2">
      <c r="A5" t="s">
        <v>944</v>
      </c>
      <c r="B5">
        <v>12.08</v>
      </c>
      <c r="C5" s="655">
        <v>4730</v>
      </c>
      <c r="D5" s="655">
        <v>6030</v>
      </c>
      <c r="I5" s="655">
        <v>29600</v>
      </c>
      <c r="J5" s="655">
        <v>5620</v>
      </c>
      <c r="O5" s="655">
        <v>326000</v>
      </c>
      <c r="P5" s="655">
        <v>15900</v>
      </c>
      <c r="Q5" s="655">
        <v>6320</v>
      </c>
      <c r="R5" s="655">
        <f t="shared" si="0"/>
        <v>394200</v>
      </c>
      <c r="T5" s="35">
        <f t="shared" si="1"/>
        <v>1.199898528665652E-2</v>
      </c>
      <c r="U5" s="35">
        <f t="shared" si="2"/>
        <v>1.5296803652968037E-2</v>
      </c>
      <c r="V5" s="35">
        <f t="shared" si="3"/>
        <v>0</v>
      </c>
      <c r="W5" s="35">
        <f t="shared" si="4"/>
        <v>0</v>
      </c>
      <c r="X5" s="35">
        <f t="shared" si="5"/>
        <v>0</v>
      </c>
      <c r="Y5" s="35">
        <f t="shared" si="6"/>
        <v>0</v>
      </c>
      <c r="Z5" s="35">
        <f t="shared" si="7"/>
        <v>7.5088787417554537E-2</v>
      </c>
      <c r="AA5" s="35">
        <f t="shared" si="8"/>
        <v>1.4256722475900558E-2</v>
      </c>
      <c r="AB5" s="35">
        <f t="shared" si="9"/>
        <v>0</v>
      </c>
      <c r="AC5" s="35">
        <f t="shared" si="10"/>
        <v>0</v>
      </c>
      <c r="AD5" s="35">
        <f t="shared" si="11"/>
        <v>0</v>
      </c>
      <c r="AE5" s="35">
        <f t="shared" si="12"/>
        <v>0</v>
      </c>
      <c r="AF5" s="35">
        <f t="shared" si="13"/>
        <v>0.82699137493658037</v>
      </c>
      <c r="AG5" s="35">
        <f t="shared" si="14"/>
        <v>4.0334855403348552E-2</v>
      </c>
      <c r="AH5" s="35">
        <f t="shared" si="15"/>
        <v>1.6032470826991375E-2</v>
      </c>
    </row>
    <row r="6" spans="1:34" x14ac:dyDescent="0.2">
      <c r="A6" t="s">
        <v>945</v>
      </c>
      <c r="B6">
        <v>18.829999999999998</v>
      </c>
      <c r="C6" s="655">
        <v>33300</v>
      </c>
      <c r="D6" s="655">
        <v>14600</v>
      </c>
      <c r="I6" s="655">
        <v>213000</v>
      </c>
      <c r="J6" s="655">
        <v>66600</v>
      </c>
      <c r="K6" s="655">
        <v>15300</v>
      </c>
      <c r="L6" s="655">
        <v>13200</v>
      </c>
      <c r="M6" s="655">
        <v>5690</v>
      </c>
      <c r="N6" s="655">
        <v>2660</v>
      </c>
      <c r="O6" s="655">
        <v>1630000</v>
      </c>
      <c r="P6" s="655">
        <v>105000</v>
      </c>
      <c r="Q6" s="655">
        <v>46800</v>
      </c>
      <c r="R6" s="655">
        <f t="shared" si="0"/>
        <v>2146150</v>
      </c>
      <c r="T6" s="35">
        <f t="shared" si="1"/>
        <v>1.5516156838990752E-2</v>
      </c>
      <c r="U6" s="35">
        <f t="shared" si="2"/>
        <v>6.8028795750530021E-3</v>
      </c>
      <c r="V6" s="35">
        <f t="shared" si="3"/>
        <v>0</v>
      </c>
      <c r="W6" s="35">
        <f t="shared" si="4"/>
        <v>0</v>
      </c>
      <c r="X6" s="35">
        <f t="shared" si="5"/>
        <v>0</v>
      </c>
      <c r="Y6" s="35">
        <f t="shared" si="6"/>
        <v>0</v>
      </c>
      <c r="Z6" s="35">
        <f t="shared" si="7"/>
        <v>9.9247489690841739E-2</v>
      </c>
      <c r="AA6" s="35">
        <f t="shared" si="8"/>
        <v>3.1032313677981503E-2</v>
      </c>
      <c r="AB6" s="35">
        <f t="shared" si="9"/>
        <v>7.1290450341308853E-3</v>
      </c>
      <c r="AC6" s="35">
        <f t="shared" si="10"/>
        <v>6.150548656897235E-3</v>
      </c>
      <c r="AD6" s="35">
        <f t="shared" si="11"/>
        <v>2.6512592316473684E-3</v>
      </c>
      <c r="AE6" s="35">
        <f t="shared" si="12"/>
        <v>1.2394287444959578E-3</v>
      </c>
      <c r="AF6" s="35">
        <f t="shared" si="13"/>
        <v>0.75949956899564341</v>
      </c>
      <c r="AG6" s="35">
        <f t="shared" si="14"/>
        <v>4.8924818861682547E-2</v>
      </c>
      <c r="AH6" s="35">
        <f t="shared" si="15"/>
        <v>2.1806490692635652E-2</v>
      </c>
    </row>
    <row r="7" spans="1:34" x14ac:dyDescent="0.2">
      <c r="A7" t="s">
        <v>946</v>
      </c>
      <c r="B7">
        <v>19.88</v>
      </c>
      <c r="C7" s="655">
        <v>12200</v>
      </c>
      <c r="D7" s="655">
        <v>5640</v>
      </c>
      <c r="I7" s="655">
        <v>86400</v>
      </c>
      <c r="J7" s="655">
        <v>23800</v>
      </c>
      <c r="K7" s="655">
        <v>6460</v>
      </c>
      <c r="L7" s="655">
        <v>4770</v>
      </c>
      <c r="M7" s="655">
        <v>3560</v>
      </c>
      <c r="N7" s="655">
        <v>2470</v>
      </c>
      <c r="O7" s="655">
        <v>802000</v>
      </c>
      <c r="P7" s="655">
        <v>46800</v>
      </c>
      <c r="Q7" s="655">
        <v>20000</v>
      </c>
      <c r="R7" s="655">
        <f t="shared" si="0"/>
        <v>1014100</v>
      </c>
      <c r="T7" s="35">
        <f t="shared" si="1"/>
        <v>1.203037175820925E-2</v>
      </c>
      <c r="U7" s="35">
        <f t="shared" si="2"/>
        <v>5.5615816980573909E-3</v>
      </c>
      <c r="V7" s="35">
        <f t="shared" si="3"/>
        <v>0</v>
      </c>
      <c r="W7" s="35">
        <f t="shared" si="4"/>
        <v>0</v>
      </c>
      <c r="X7" s="35">
        <f t="shared" si="5"/>
        <v>0</v>
      </c>
      <c r="Y7" s="35">
        <f t="shared" si="6"/>
        <v>0</v>
      </c>
      <c r="Z7" s="35">
        <f t="shared" si="7"/>
        <v>8.519869835321961E-2</v>
      </c>
      <c r="AA7" s="35">
        <f t="shared" si="8"/>
        <v>2.3469085888965586E-2</v>
      </c>
      <c r="AB7" s="35">
        <f t="shared" si="9"/>
        <v>6.3701804555763731E-3</v>
      </c>
      <c r="AC7" s="35">
        <f t="shared" si="10"/>
        <v>4.7036781382506655E-3</v>
      </c>
      <c r="AD7" s="35">
        <f t="shared" si="11"/>
        <v>3.5105019228872892E-3</v>
      </c>
      <c r="AE7" s="35">
        <f t="shared" si="12"/>
        <v>2.4356572330144956E-3</v>
      </c>
      <c r="AF7" s="35">
        <f t="shared" si="13"/>
        <v>0.79084902869539497</v>
      </c>
      <c r="AG7" s="35">
        <f t="shared" si="14"/>
        <v>4.6149294941327287E-2</v>
      </c>
      <c r="AH7" s="35">
        <f t="shared" si="15"/>
        <v>1.972192091509713E-2</v>
      </c>
    </row>
    <row r="8" spans="1:34" x14ac:dyDescent="0.2">
      <c r="A8" t="s">
        <v>947</v>
      </c>
      <c r="B8">
        <v>21.03</v>
      </c>
      <c r="C8" s="655">
        <v>8250</v>
      </c>
      <c r="D8" s="655">
        <v>2440</v>
      </c>
      <c r="I8" s="655">
        <v>44400</v>
      </c>
      <c r="J8" s="655">
        <v>12100</v>
      </c>
      <c r="O8" s="655">
        <v>509000</v>
      </c>
      <c r="P8" s="655">
        <v>28200</v>
      </c>
      <c r="Q8" s="655">
        <v>12100</v>
      </c>
      <c r="R8" s="655">
        <f t="shared" si="0"/>
        <v>616490</v>
      </c>
      <c r="T8" s="35">
        <f t="shared" si="1"/>
        <v>1.3382212201333355E-2</v>
      </c>
      <c r="U8" s="35">
        <f t="shared" si="2"/>
        <v>3.9578906389398042E-3</v>
      </c>
      <c r="V8" s="35">
        <f t="shared" si="3"/>
        <v>0</v>
      </c>
      <c r="W8" s="35">
        <f t="shared" si="4"/>
        <v>0</v>
      </c>
      <c r="X8" s="35">
        <f t="shared" si="5"/>
        <v>0</v>
      </c>
      <c r="Y8" s="35">
        <f t="shared" si="6"/>
        <v>0</v>
      </c>
      <c r="Z8" s="35">
        <f t="shared" si="7"/>
        <v>7.2020632938084958E-2</v>
      </c>
      <c r="AA8" s="35">
        <f t="shared" si="8"/>
        <v>1.9627244561955588E-2</v>
      </c>
      <c r="AB8" s="35">
        <f t="shared" si="9"/>
        <v>0</v>
      </c>
      <c r="AC8" s="35">
        <f t="shared" si="10"/>
        <v>0</v>
      </c>
      <c r="AD8" s="35">
        <f t="shared" si="11"/>
        <v>0</v>
      </c>
      <c r="AE8" s="35">
        <f t="shared" si="12"/>
        <v>0</v>
      </c>
      <c r="AF8" s="35">
        <f t="shared" si="13"/>
        <v>0.82564194066408214</v>
      </c>
      <c r="AG8" s="35">
        <f t="shared" si="14"/>
        <v>4.5742834433648558E-2</v>
      </c>
      <c r="AH8" s="35">
        <f t="shared" si="15"/>
        <v>1.9627244561955588E-2</v>
      </c>
    </row>
    <row r="9" spans="1:34" x14ac:dyDescent="0.2">
      <c r="A9" t="s">
        <v>948</v>
      </c>
      <c r="B9">
        <v>22.1</v>
      </c>
      <c r="C9" s="655">
        <v>12100</v>
      </c>
      <c r="D9" s="655">
        <v>2830</v>
      </c>
      <c r="I9" s="655">
        <v>47900</v>
      </c>
      <c r="J9" s="655">
        <v>14000</v>
      </c>
      <c r="O9" s="655">
        <v>409000</v>
      </c>
      <c r="P9" s="655">
        <v>22400</v>
      </c>
      <c r="Q9" s="655">
        <v>9340</v>
      </c>
      <c r="R9" s="655">
        <f t="shared" si="0"/>
        <v>517570</v>
      </c>
      <c r="T9" s="35">
        <f t="shared" si="1"/>
        <v>2.3378480205576056E-2</v>
      </c>
      <c r="U9" s="35">
        <f t="shared" si="2"/>
        <v>5.4678594199818386E-3</v>
      </c>
      <c r="V9" s="35">
        <f t="shared" si="3"/>
        <v>0</v>
      </c>
      <c r="W9" s="35">
        <f t="shared" si="4"/>
        <v>0</v>
      </c>
      <c r="X9" s="35">
        <f t="shared" si="5"/>
        <v>0</v>
      </c>
      <c r="Y9" s="35">
        <f t="shared" si="6"/>
        <v>0</v>
      </c>
      <c r="Z9" s="35">
        <f t="shared" si="7"/>
        <v>9.2547867921247362E-2</v>
      </c>
      <c r="AA9" s="35">
        <f t="shared" si="8"/>
        <v>2.7049481229592134E-2</v>
      </c>
      <c r="AB9" s="35">
        <f t="shared" si="9"/>
        <v>0</v>
      </c>
      <c r="AC9" s="35">
        <f t="shared" si="10"/>
        <v>0</v>
      </c>
      <c r="AD9" s="35">
        <f t="shared" si="11"/>
        <v>0</v>
      </c>
      <c r="AE9" s="35">
        <f t="shared" si="12"/>
        <v>0</v>
      </c>
      <c r="AF9" s="35">
        <f t="shared" si="13"/>
        <v>0.79023127306451302</v>
      </c>
      <c r="AG9" s="35">
        <f t="shared" si="14"/>
        <v>4.327916996734741E-2</v>
      </c>
      <c r="AH9" s="35">
        <f t="shared" si="15"/>
        <v>1.8045868191742181E-2</v>
      </c>
    </row>
    <row r="10" spans="1:34" x14ac:dyDescent="0.2">
      <c r="A10" t="s">
        <v>949</v>
      </c>
      <c r="B10">
        <v>24.05</v>
      </c>
      <c r="C10" s="655">
        <v>5920</v>
      </c>
      <c r="D10" s="655">
        <v>1740</v>
      </c>
      <c r="I10" s="655">
        <v>47700</v>
      </c>
      <c r="J10" s="655">
        <v>15000</v>
      </c>
      <c r="O10" s="655">
        <v>584000</v>
      </c>
      <c r="P10" s="655">
        <v>33400</v>
      </c>
      <c r="Q10" s="655">
        <v>13400</v>
      </c>
      <c r="R10" s="655">
        <f t="shared" si="0"/>
        <v>701160</v>
      </c>
      <c r="T10" s="35">
        <f t="shared" si="1"/>
        <v>8.4431513491927662E-3</v>
      </c>
      <c r="U10" s="35">
        <f t="shared" si="2"/>
        <v>2.4816019168235498E-3</v>
      </c>
      <c r="V10" s="35">
        <f t="shared" si="3"/>
        <v>0</v>
      </c>
      <c r="W10" s="35">
        <f t="shared" si="4"/>
        <v>0</v>
      </c>
      <c r="X10" s="35">
        <f t="shared" si="5"/>
        <v>0</v>
      </c>
      <c r="Y10" s="35">
        <f t="shared" si="6"/>
        <v>0</v>
      </c>
      <c r="Z10" s="35">
        <f t="shared" si="7"/>
        <v>6.803012151292144E-2</v>
      </c>
      <c r="AA10" s="35">
        <f t="shared" si="8"/>
        <v>2.1393119972616805E-2</v>
      </c>
      <c r="AB10" s="35">
        <f t="shared" si="9"/>
        <v>0</v>
      </c>
      <c r="AC10" s="35">
        <f t="shared" si="10"/>
        <v>0</v>
      </c>
      <c r="AD10" s="35">
        <f t="shared" si="11"/>
        <v>0</v>
      </c>
      <c r="AE10" s="35">
        <f t="shared" si="12"/>
        <v>0</v>
      </c>
      <c r="AF10" s="35">
        <f t="shared" si="13"/>
        <v>0.83290547093388101</v>
      </c>
      <c r="AG10" s="35">
        <f t="shared" si="14"/>
        <v>4.7635347139026757E-2</v>
      </c>
      <c r="AH10" s="35">
        <f t="shared" si="15"/>
        <v>1.911118717553768E-2</v>
      </c>
    </row>
    <row r="11" spans="1:34" x14ac:dyDescent="0.2">
      <c r="A11" t="s">
        <v>950</v>
      </c>
      <c r="B11">
        <v>25.3</v>
      </c>
      <c r="C11" s="655">
        <v>10900</v>
      </c>
      <c r="D11" s="655">
        <v>5130</v>
      </c>
      <c r="I11" s="655">
        <v>89600</v>
      </c>
      <c r="J11" s="655">
        <v>26200</v>
      </c>
      <c r="O11" s="655">
        <v>967000</v>
      </c>
      <c r="P11" s="655">
        <v>56200</v>
      </c>
      <c r="R11" s="655">
        <f t="shared" si="0"/>
        <v>1155030</v>
      </c>
      <c r="T11" s="35">
        <f t="shared" si="1"/>
        <v>9.4369843207535737E-3</v>
      </c>
      <c r="U11" s="35">
        <f t="shared" si="2"/>
        <v>4.4414430794005354E-3</v>
      </c>
      <c r="V11" s="35">
        <f t="shared" si="3"/>
        <v>0</v>
      </c>
      <c r="W11" s="35">
        <f t="shared" si="4"/>
        <v>0</v>
      </c>
      <c r="X11" s="35">
        <f t="shared" si="5"/>
        <v>0</v>
      </c>
      <c r="Y11" s="35">
        <f t="shared" si="6"/>
        <v>0</v>
      </c>
      <c r="Z11" s="35">
        <f t="shared" si="7"/>
        <v>7.7573742673350474E-2</v>
      </c>
      <c r="AA11" s="35">
        <f t="shared" si="8"/>
        <v>2.2683393504930607E-2</v>
      </c>
      <c r="AB11" s="35">
        <f t="shared" si="9"/>
        <v>0</v>
      </c>
      <c r="AC11" s="35">
        <f t="shared" si="10"/>
        <v>0</v>
      </c>
      <c r="AD11" s="35">
        <f t="shared" si="11"/>
        <v>0</v>
      </c>
      <c r="AE11" s="35">
        <f t="shared" si="12"/>
        <v>0</v>
      </c>
      <c r="AF11" s="35">
        <f t="shared" si="13"/>
        <v>0.83720769157511066</v>
      </c>
      <c r="AG11" s="35">
        <f t="shared" si="14"/>
        <v>4.8656744846454207E-2</v>
      </c>
      <c r="AH11" s="35">
        <f t="shared" si="15"/>
        <v>0</v>
      </c>
    </row>
    <row r="12" spans="1:34" x14ac:dyDescent="0.2">
      <c r="A12" t="s">
        <v>951</v>
      </c>
      <c r="B12">
        <v>25.8</v>
      </c>
      <c r="C12" s="655">
        <v>8690</v>
      </c>
      <c r="D12" s="655">
        <v>2980</v>
      </c>
      <c r="I12" s="655">
        <v>59500</v>
      </c>
      <c r="J12" s="655">
        <v>15000</v>
      </c>
      <c r="O12" s="655">
        <v>589000</v>
      </c>
      <c r="P12" s="655">
        <v>43200</v>
      </c>
      <c r="Q12" s="655">
        <v>16700</v>
      </c>
      <c r="R12" s="655">
        <f t="shared" si="0"/>
        <v>735070</v>
      </c>
      <c r="T12" s="35">
        <f t="shared" si="1"/>
        <v>1.182200334662005E-2</v>
      </c>
      <c r="U12" s="35">
        <f t="shared" si="2"/>
        <v>4.0540356700722383E-3</v>
      </c>
      <c r="V12" s="35">
        <f t="shared" si="3"/>
        <v>0</v>
      </c>
      <c r="W12" s="35">
        <f t="shared" si="4"/>
        <v>0</v>
      </c>
      <c r="X12" s="35">
        <f t="shared" si="5"/>
        <v>0</v>
      </c>
      <c r="Y12" s="35">
        <f t="shared" si="6"/>
        <v>0</v>
      </c>
      <c r="Z12" s="35">
        <f t="shared" si="7"/>
        <v>8.0944671936006088E-2</v>
      </c>
      <c r="AA12" s="35">
        <f t="shared" si="8"/>
        <v>2.0406219815799855E-2</v>
      </c>
      <c r="AB12" s="35">
        <f t="shared" si="9"/>
        <v>0</v>
      </c>
      <c r="AC12" s="35">
        <f t="shared" si="10"/>
        <v>0</v>
      </c>
      <c r="AD12" s="35">
        <f t="shared" si="11"/>
        <v>0</v>
      </c>
      <c r="AE12" s="35">
        <f t="shared" si="12"/>
        <v>0</v>
      </c>
      <c r="AF12" s="35">
        <f t="shared" si="13"/>
        <v>0.80128423143374106</v>
      </c>
      <c r="AG12" s="35">
        <f t="shared" si="14"/>
        <v>5.8769913069503583E-2</v>
      </c>
      <c r="AH12" s="35">
        <f t="shared" si="15"/>
        <v>2.2718924728257171E-2</v>
      </c>
    </row>
    <row r="13" spans="1:34" x14ac:dyDescent="0.2">
      <c r="A13" t="s">
        <v>952</v>
      </c>
      <c r="B13">
        <v>26.3</v>
      </c>
      <c r="C13" s="655">
        <v>21400</v>
      </c>
      <c r="D13" s="655">
        <v>6910</v>
      </c>
      <c r="I13" s="655">
        <v>165000</v>
      </c>
      <c r="J13" s="655">
        <v>42900</v>
      </c>
      <c r="K13" s="655">
        <v>11200</v>
      </c>
      <c r="L13" s="655">
        <v>7470</v>
      </c>
      <c r="O13" s="655">
        <v>2020000</v>
      </c>
      <c r="P13" s="655">
        <v>98800</v>
      </c>
      <c r="Q13" s="655">
        <v>40000</v>
      </c>
      <c r="R13" s="655">
        <f t="shared" si="0"/>
        <v>2413680</v>
      </c>
      <c r="T13" s="35">
        <f t="shared" si="1"/>
        <v>8.8661297272215039E-3</v>
      </c>
      <c r="U13" s="35">
        <f t="shared" si="2"/>
        <v>2.8628484306121773E-3</v>
      </c>
      <c r="V13" s="35">
        <f t="shared" si="3"/>
        <v>0</v>
      </c>
      <c r="W13" s="35">
        <f t="shared" si="4"/>
        <v>0</v>
      </c>
      <c r="X13" s="35">
        <f t="shared" si="5"/>
        <v>0</v>
      </c>
      <c r="Y13" s="35">
        <f t="shared" si="6"/>
        <v>0</v>
      </c>
      <c r="Z13" s="35">
        <f t="shared" si="7"/>
        <v>6.8360346027642432E-2</v>
      </c>
      <c r="AA13" s="35">
        <f t="shared" si="8"/>
        <v>1.7773689967187034E-2</v>
      </c>
      <c r="AB13" s="35">
        <f t="shared" si="9"/>
        <v>4.6402174273308811E-3</v>
      </c>
      <c r="AC13" s="35">
        <f t="shared" si="10"/>
        <v>3.0948593019787213E-3</v>
      </c>
      <c r="AD13" s="35">
        <f t="shared" si="11"/>
        <v>0</v>
      </c>
      <c r="AE13" s="35">
        <f t="shared" si="12"/>
        <v>0</v>
      </c>
      <c r="AF13" s="35">
        <f t="shared" si="13"/>
        <v>0.83689635742931956</v>
      </c>
      <c r="AG13" s="35">
        <f t="shared" si="14"/>
        <v>4.093334659109741E-2</v>
      </c>
      <c r="AH13" s="35">
        <f t="shared" si="15"/>
        <v>1.6572205097610287E-2</v>
      </c>
    </row>
    <row r="14" spans="1:34" x14ac:dyDescent="0.2">
      <c r="A14" t="s">
        <v>953</v>
      </c>
      <c r="B14">
        <v>26.8</v>
      </c>
      <c r="C14" s="655">
        <v>5870</v>
      </c>
      <c r="D14" s="655">
        <v>2040</v>
      </c>
      <c r="I14" s="655">
        <v>47500</v>
      </c>
      <c r="J14" s="655">
        <v>16400</v>
      </c>
      <c r="O14" s="655">
        <v>691000</v>
      </c>
      <c r="P14" s="655">
        <v>37600</v>
      </c>
      <c r="Q14" s="655">
        <v>13900</v>
      </c>
      <c r="R14" s="655">
        <f t="shared" si="0"/>
        <v>814310</v>
      </c>
      <c r="T14" s="35">
        <f t="shared" si="1"/>
        <v>7.20855693777554E-3</v>
      </c>
      <c r="U14" s="35">
        <f t="shared" si="2"/>
        <v>2.5051884417482285E-3</v>
      </c>
      <c r="V14" s="35">
        <f t="shared" si="3"/>
        <v>0</v>
      </c>
      <c r="W14" s="35">
        <f t="shared" si="4"/>
        <v>0</v>
      </c>
      <c r="X14" s="35">
        <f t="shared" si="5"/>
        <v>0</v>
      </c>
      <c r="Y14" s="35">
        <f t="shared" si="6"/>
        <v>0</v>
      </c>
      <c r="Z14" s="35">
        <f t="shared" si="7"/>
        <v>5.8331593619137673E-2</v>
      </c>
      <c r="AA14" s="35">
        <f t="shared" si="8"/>
        <v>2.0139750217975955E-2</v>
      </c>
      <c r="AB14" s="35">
        <f t="shared" si="9"/>
        <v>0</v>
      </c>
      <c r="AC14" s="35">
        <f t="shared" si="10"/>
        <v>0</v>
      </c>
      <c r="AD14" s="35">
        <f t="shared" si="11"/>
        <v>0</v>
      </c>
      <c r="AE14" s="35">
        <f t="shared" si="12"/>
        <v>0</v>
      </c>
      <c r="AF14" s="35">
        <f t="shared" si="13"/>
        <v>0.84857118296471856</v>
      </c>
      <c r="AG14" s="35">
        <f t="shared" si="14"/>
        <v>4.6174061475359504E-2</v>
      </c>
      <c r="AH14" s="35">
        <f t="shared" si="15"/>
        <v>1.7069666343284499E-2</v>
      </c>
    </row>
    <row r="15" spans="1:34" x14ac:dyDescent="0.2">
      <c r="A15" t="s">
        <v>954</v>
      </c>
      <c r="B15">
        <v>27.3</v>
      </c>
      <c r="C15" s="655">
        <v>7960</v>
      </c>
      <c r="D15" s="655">
        <v>2930</v>
      </c>
      <c r="I15" s="655">
        <v>74300</v>
      </c>
      <c r="J15" s="655">
        <v>22600</v>
      </c>
      <c r="K15" s="655">
        <v>5070</v>
      </c>
      <c r="L15" s="655">
        <v>3090</v>
      </c>
      <c r="O15" s="655">
        <v>1040000</v>
      </c>
      <c r="P15" s="655">
        <v>52900</v>
      </c>
      <c r="Q15" s="655">
        <v>22000</v>
      </c>
      <c r="R15" s="655">
        <f t="shared" si="0"/>
        <v>1230850</v>
      </c>
      <c r="T15" s="35">
        <f t="shared" si="1"/>
        <v>6.4670755981638701E-3</v>
      </c>
      <c r="U15" s="35">
        <f t="shared" si="2"/>
        <v>2.3804687817361985E-3</v>
      </c>
      <c r="V15" s="35">
        <f t="shared" si="3"/>
        <v>0</v>
      </c>
      <c r="W15" s="35">
        <f t="shared" si="4"/>
        <v>0</v>
      </c>
      <c r="X15" s="35">
        <f t="shared" si="5"/>
        <v>0</v>
      </c>
      <c r="Y15" s="35">
        <f t="shared" si="6"/>
        <v>0</v>
      </c>
      <c r="Z15" s="35">
        <f t="shared" si="7"/>
        <v>6.0364788560750698E-2</v>
      </c>
      <c r="AA15" s="35">
        <f t="shared" si="8"/>
        <v>1.8361295040013E-2</v>
      </c>
      <c r="AB15" s="35">
        <f t="shared" si="9"/>
        <v>4.1191046837551282E-3</v>
      </c>
      <c r="AC15" s="35">
        <f t="shared" si="10"/>
        <v>2.5104602510460251E-3</v>
      </c>
      <c r="AD15" s="35">
        <f t="shared" si="11"/>
        <v>0</v>
      </c>
      <c r="AE15" s="35">
        <f t="shared" si="12"/>
        <v>0</v>
      </c>
      <c r="AF15" s="35">
        <f t="shared" si="13"/>
        <v>0.84494455051387252</v>
      </c>
      <c r="AG15" s="35">
        <f t="shared" si="14"/>
        <v>4.29784295405614E-2</v>
      </c>
      <c r="AH15" s="35">
        <f t="shared" si="15"/>
        <v>1.7873827030101149E-2</v>
      </c>
    </row>
    <row r="16" spans="1:34" x14ac:dyDescent="0.2">
      <c r="A16" t="s">
        <v>955</v>
      </c>
      <c r="B16">
        <v>27.75</v>
      </c>
      <c r="C16" s="655">
        <v>22000</v>
      </c>
      <c r="D16" s="655">
        <v>6910</v>
      </c>
      <c r="I16" s="655">
        <v>167000</v>
      </c>
      <c r="J16" s="655">
        <v>52500</v>
      </c>
      <c r="K16" s="655">
        <v>14200</v>
      </c>
      <c r="L16" s="655">
        <v>8970</v>
      </c>
      <c r="O16" s="655">
        <v>1920000</v>
      </c>
      <c r="P16" s="655">
        <v>103000</v>
      </c>
      <c r="Q16" s="655">
        <v>42700</v>
      </c>
      <c r="R16" s="655">
        <f t="shared" si="0"/>
        <v>2337280</v>
      </c>
      <c r="T16" s="35">
        <f t="shared" si="1"/>
        <v>9.4126506024096394E-3</v>
      </c>
      <c r="U16" s="35">
        <f t="shared" si="2"/>
        <v>2.9564279846659366E-3</v>
      </c>
      <c r="V16" s="35">
        <f t="shared" si="3"/>
        <v>0</v>
      </c>
      <c r="W16" s="35">
        <f t="shared" si="4"/>
        <v>0</v>
      </c>
      <c r="X16" s="35">
        <f t="shared" si="5"/>
        <v>0</v>
      </c>
      <c r="Y16" s="35">
        <f t="shared" si="6"/>
        <v>0</v>
      </c>
      <c r="Z16" s="35">
        <f t="shared" si="7"/>
        <v>7.1450575027382252E-2</v>
      </c>
      <c r="AA16" s="35">
        <f t="shared" si="8"/>
        <v>2.2462007119386639E-2</v>
      </c>
      <c r="AB16" s="35">
        <f t="shared" si="9"/>
        <v>6.0754381161007669E-3</v>
      </c>
      <c r="AC16" s="35">
        <f t="shared" si="10"/>
        <v>3.8377943592552027E-3</v>
      </c>
      <c r="AD16" s="35">
        <f t="shared" si="11"/>
        <v>0</v>
      </c>
      <c r="AE16" s="35">
        <f t="shared" si="12"/>
        <v>0</v>
      </c>
      <c r="AF16" s="35">
        <f t="shared" si="13"/>
        <v>0.8214676889375685</v>
      </c>
      <c r="AG16" s="35">
        <f t="shared" si="14"/>
        <v>4.4068318729463304E-2</v>
      </c>
      <c r="AH16" s="35">
        <f t="shared" si="15"/>
        <v>1.8269099123767799E-2</v>
      </c>
    </row>
    <row r="17" spans="1:34" x14ac:dyDescent="0.2">
      <c r="A17" t="s">
        <v>956</v>
      </c>
      <c r="B17">
        <v>28.55</v>
      </c>
      <c r="C17" s="655">
        <v>22000</v>
      </c>
      <c r="D17" s="655">
        <v>7940</v>
      </c>
      <c r="I17" s="655">
        <v>147000</v>
      </c>
      <c r="J17" s="655">
        <v>54800</v>
      </c>
      <c r="K17" s="655">
        <v>9320</v>
      </c>
      <c r="L17" s="655">
        <v>7260</v>
      </c>
      <c r="O17" s="655">
        <v>1690000</v>
      </c>
      <c r="P17" s="655">
        <v>91500</v>
      </c>
      <c r="Q17" s="655">
        <v>34300</v>
      </c>
      <c r="R17" s="655">
        <f t="shared" si="0"/>
        <v>2064120</v>
      </c>
      <c r="T17" s="35">
        <f t="shared" si="1"/>
        <v>1.0658295060364708E-2</v>
      </c>
      <c r="U17" s="35">
        <f t="shared" si="2"/>
        <v>3.8466755808770807E-3</v>
      </c>
      <c r="V17" s="35">
        <f t="shared" si="3"/>
        <v>0</v>
      </c>
      <c r="W17" s="35">
        <f t="shared" si="4"/>
        <v>0</v>
      </c>
      <c r="X17" s="35">
        <f t="shared" si="5"/>
        <v>0</v>
      </c>
      <c r="Y17" s="35">
        <f t="shared" si="6"/>
        <v>0</v>
      </c>
      <c r="Z17" s="35">
        <f t="shared" si="7"/>
        <v>7.1216789721527812E-2</v>
      </c>
      <c r="AA17" s="35">
        <f t="shared" si="8"/>
        <v>2.6548844059453909E-2</v>
      </c>
      <c r="AB17" s="35">
        <f t="shared" si="9"/>
        <v>4.5152413619363218E-3</v>
      </c>
      <c r="AC17" s="35">
        <f t="shared" si="10"/>
        <v>3.5172373699203533E-3</v>
      </c>
      <c r="AD17" s="35">
        <f t="shared" si="11"/>
        <v>0</v>
      </c>
      <c r="AE17" s="35">
        <f t="shared" si="12"/>
        <v>0</v>
      </c>
      <c r="AF17" s="35">
        <f t="shared" si="13"/>
        <v>0.81875084781892526</v>
      </c>
      <c r="AG17" s="35">
        <f t="shared" si="14"/>
        <v>4.4328818091971395E-2</v>
      </c>
      <c r="AH17" s="35">
        <f t="shared" si="15"/>
        <v>1.6617250935023156E-2</v>
      </c>
    </row>
    <row r="18" spans="1:34" x14ac:dyDescent="0.2">
      <c r="A18" t="s">
        <v>957</v>
      </c>
      <c r="B18">
        <v>29.3</v>
      </c>
      <c r="C18" s="655">
        <v>18200</v>
      </c>
      <c r="D18" s="655">
        <v>6210</v>
      </c>
      <c r="I18" s="655">
        <v>148000</v>
      </c>
      <c r="J18" s="655">
        <v>45500</v>
      </c>
      <c r="K18" s="655">
        <v>9960</v>
      </c>
      <c r="L18" s="655">
        <v>7700</v>
      </c>
      <c r="O18" s="655">
        <v>1930000</v>
      </c>
      <c r="P18" s="655">
        <v>101000</v>
      </c>
      <c r="Q18" s="655">
        <v>38300</v>
      </c>
      <c r="R18" s="655">
        <f t="shared" si="0"/>
        <v>2304870</v>
      </c>
      <c r="T18" s="35">
        <f t="shared" si="1"/>
        <v>7.8963238707606062E-3</v>
      </c>
      <c r="U18" s="35">
        <f t="shared" si="2"/>
        <v>2.69429512293535E-3</v>
      </c>
      <c r="V18" s="35">
        <f t="shared" si="3"/>
        <v>0</v>
      </c>
      <c r="W18" s="35">
        <f t="shared" si="4"/>
        <v>0</v>
      </c>
      <c r="X18" s="35">
        <f t="shared" si="5"/>
        <v>0</v>
      </c>
      <c r="Y18" s="35">
        <f t="shared" si="6"/>
        <v>0</v>
      </c>
      <c r="Z18" s="35">
        <f t="shared" si="7"/>
        <v>6.4211864443547789E-2</v>
      </c>
      <c r="AA18" s="35">
        <f t="shared" si="8"/>
        <v>1.9740809676901516E-2</v>
      </c>
      <c r="AB18" s="35">
        <f t="shared" si="9"/>
        <v>4.3212849314711891E-3</v>
      </c>
      <c r="AC18" s="35">
        <f t="shared" si="10"/>
        <v>3.3407524068602566E-3</v>
      </c>
      <c r="AD18" s="35">
        <f t="shared" si="11"/>
        <v>0</v>
      </c>
      <c r="AE18" s="35">
        <f t="shared" si="12"/>
        <v>0</v>
      </c>
      <c r="AF18" s="35">
        <f t="shared" si="13"/>
        <v>0.83735742145977865</v>
      </c>
      <c r="AG18" s="35">
        <f t="shared" si="14"/>
        <v>4.3820258843231936E-2</v>
      </c>
      <c r="AH18" s="35">
        <f t="shared" si="15"/>
        <v>1.6616989244512707E-2</v>
      </c>
    </row>
    <row r="19" spans="1:34" x14ac:dyDescent="0.2">
      <c r="A19" t="s">
        <v>958</v>
      </c>
      <c r="B19">
        <v>30.1</v>
      </c>
      <c r="C19" s="655">
        <v>11900</v>
      </c>
      <c r="D19" s="655">
        <v>3690</v>
      </c>
      <c r="I19" s="655">
        <v>89000</v>
      </c>
      <c r="J19" s="655">
        <v>29800</v>
      </c>
      <c r="K19" s="655">
        <v>4900</v>
      </c>
      <c r="L19" s="655">
        <v>4420</v>
      </c>
      <c r="O19" s="655">
        <v>1040000</v>
      </c>
      <c r="P19" s="655">
        <v>60500</v>
      </c>
      <c r="Q19" s="655">
        <v>28100</v>
      </c>
      <c r="R19" s="655">
        <f t="shared" si="0"/>
        <v>1272310</v>
      </c>
      <c r="T19" s="35">
        <f t="shared" si="1"/>
        <v>9.3530664696496926E-3</v>
      </c>
      <c r="U19" s="35">
        <f t="shared" si="2"/>
        <v>2.9002365775636441E-3</v>
      </c>
      <c r="V19" s="35">
        <f t="shared" si="3"/>
        <v>0</v>
      </c>
      <c r="W19" s="35">
        <f t="shared" si="4"/>
        <v>0</v>
      </c>
      <c r="X19" s="35">
        <f t="shared" si="5"/>
        <v>0</v>
      </c>
      <c r="Y19" s="35">
        <f t="shared" si="6"/>
        <v>0</v>
      </c>
      <c r="Z19" s="35">
        <f t="shared" si="7"/>
        <v>6.9951505529312827E-2</v>
      </c>
      <c r="AA19" s="35">
        <f t="shared" si="8"/>
        <v>2.3421964772736205E-2</v>
      </c>
      <c r="AB19" s="35">
        <f t="shared" si="9"/>
        <v>3.8512626639734026E-3</v>
      </c>
      <c r="AC19" s="35">
        <f t="shared" si="10"/>
        <v>3.473996117298457E-3</v>
      </c>
      <c r="AD19" s="35">
        <f t="shared" si="11"/>
        <v>0</v>
      </c>
      <c r="AE19" s="35">
        <f t="shared" si="12"/>
        <v>0</v>
      </c>
      <c r="AF19" s="35">
        <f t="shared" si="13"/>
        <v>0.81741085112904877</v>
      </c>
      <c r="AG19" s="35">
        <f t="shared" si="14"/>
        <v>4.755130432048793E-2</v>
      </c>
      <c r="AH19" s="35">
        <f t="shared" si="15"/>
        <v>2.2085812419929105E-2</v>
      </c>
    </row>
    <row r="20" spans="1:34" x14ac:dyDescent="0.2">
      <c r="A20" t="s">
        <v>959</v>
      </c>
      <c r="B20">
        <v>31.4</v>
      </c>
      <c r="C20" s="655">
        <v>12600</v>
      </c>
      <c r="D20" s="655">
        <v>4760</v>
      </c>
      <c r="I20" s="655">
        <v>102000</v>
      </c>
      <c r="J20" s="655">
        <v>29700</v>
      </c>
      <c r="K20" s="655">
        <v>7360</v>
      </c>
      <c r="L20" s="655">
        <v>5660</v>
      </c>
      <c r="O20" s="655">
        <v>1120000</v>
      </c>
      <c r="P20" s="655">
        <v>65800</v>
      </c>
      <c r="Q20" s="655">
        <v>22900</v>
      </c>
      <c r="R20" s="655">
        <f t="shared" si="0"/>
        <v>1370780</v>
      </c>
      <c r="T20" s="35">
        <f t="shared" si="1"/>
        <v>9.1918469776331724E-3</v>
      </c>
      <c r="U20" s="35">
        <f t="shared" si="2"/>
        <v>3.4724755248836431E-3</v>
      </c>
      <c r="V20" s="35">
        <f t="shared" si="3"/>
        <v>0</v>
      </c>
      <c r="W20" s="35">
        <f t="shared" si="4"/>
        <v>0</v>
      </c>
      <c r="X20" s="35">
        <f t="shared" si="5"/>
        <v>0</v>
      </c>
      <c r="Y20" s="35">
        <f t="shared" si="6"/>
        <v>0</v>
      </c>
      <c r="Z20" s="35">
        <f t="shared" si="7"/>
        <v>7.4410189818935199E-2</v>
      </c>
      <c r="AA20" s="35">
        <f t="shared" si="8"/>
        <v>2.1666496447278191E-2</v>
      </c>
      <c r="AB20" s="35">
        <f t="shared" si="9"/>
        <v>5.3692058536015993E-3</v>
      </c>
      <c r="AC20" s="35">
        <f t="shared" si="10"/>
        <v>4.129036023286012E-3</v>
      </c>
      <c r="AD20" s="35">
        <f t="shared" si="11"/>
        <v>0</v>
      </c>
      <c r="AE20" s="35">
        <f t="shared" si="12"/>
        <v>0</v>
      </c>
      <c r="AF20" s="35">
        <f t="shared" si="13"/>
        <v>0.81705306467850425</v>
      </c>
      <c r="AG20" s="35">
        <f t="shared" si="14"/>
        <v>4.8001867549862125E-2</v>
      </c>
      <c r="AH20" s="35">
        <f t="shared" si="15"/>
        <v>1.6705817126015845E-2</v>
      </c>
    </row>
    <row r="21" spans="1:34" x14ac:dyDescent="0.2">
      <c r="A21" t="s">
        <v>960</v>
      </c>
      <c r="B21">
        <v>32.1</v>
      </c>
      <c r="C21" s="655">
        <v>15800</v>
      </c>
      <c r="D21" s="655">
        <v>5770</v>
      </c>
      <c r="I21" s="655">
        <v>125000</v>
      </c>
      <c r="J21" s="655">
        <v>39400</v>
      </c>
      <c r="O21" s="655">
        <v>1210000</v>
      </c>
      <c r="P21" s="655">
        <v>84800</v>
      </c>
      <c r="Q21" s="655">
        <v>32600</v>
      </c>
      <c r="R21" s="655">
        <f t="shared" si="0"/>
        <v>1513370</v>
      </c>
      <c r="T21" s="35">
        <f t="shared" si="1"/>
        <v>1.0440275676140006E-2</v>
      </c>
      <c r="U21" s="35">
        <f t="shared" si="2"/>
        <v>3.8126829526156855E-3</v>
      </c>
      <c r="V21" s="35">
        <f t="shared" si="3"/>
        <v>0</v>
      </c>
      <c r="W21" s="35">
        <f t="shared" si="4"/>
        <v>0</v>
      </c>
      <c r="X21" s="35">
        <f t="shared" si="5"/>
        <v>0</v>
      </c>
      <c r="Y21" s="35">
        <f t="shared" si="6"/>
        <v>0</v>
      </c>
      <c r="Z21" s="35">
        <f t="shared" si="7"/>
        <v>8.2597117690981062E-2</v>
      </c>
      <c r="AA21" s="35">
        <f t="shared" si="8"/>
        <v>2.6034611496197228E-2</v>
      </c>
      <c r="AB21" s="35">
        <f t="shared" si="9"/>
        <v>0</v>
      </c>
      <c r="AC21" s="35">
        <f t="shared" si="10"/>
        <v>0</v>
      </c>
      <c r="AD21" s="35">
        <f t="shared" si="11"/>
        <v>0</v>
      </c>
      <c r="AE21" s="35">
        <f t="shared" si="12"/>
        <v>0</v>
      </c>
      <c r="AF21" s="35">
        <f t="shared" si="13"/>
        <v>0.79954009924869662</v>
      </c>
      <c r="AG21" s="35">
        <f t="shared" si="14"/>
        <v>5.6033884641561546E-2</v>
      </c>
      <c r="AH21" s="35">
        <f t="shared" si="15"/>
        <v>2.1541328293807858E-2</v>
      </c>
    </row>
    <row r="22" spans="1:34" x14ac:dyDescent="0.2">
      <c r="A22" t="s">
        <v>961</v>
      </c>
      <c r="B22">
        <v>32.700000000000003</v>
      </c>
      <c r="C22" s="655">
        <v>151000</v>
      </c>
      <c r="D22" s="655">
        <v>75600</v>
      </c>
      <c r="I22" s="655">
        <v>1210000</v>
      </c>
      <c r="J22" s="655">
        <v>320000</v>
      </c>
      <c r="K22">
        <v>79891.5</v>
      </c>
      <c r="L22">
        <v>57078.7</v>
      </c>
      <c r="M22">
        <v>30694.799999999999</v>
      </c>
      <c r="O22" s="655">
        <v>16800000</v>
      </c>
      <c r="P22" s="655">
        <v>800000</v>
      </c>
      <c r="Q22" s="655">
        <v>320000</v>
      </c>
      <c r="R22" s="655">
        <f t="shared" si="0"/>
        <v>19844265</v>
      </c>
      <c r="T22" s="35">
        <f t="shared" si="1"/>
        <v>7.6092513378550426E-3</v>
      </c>
      <c r="U22" s="35">
        <f t="shared" si="2"/>
        <v>3.8096649082241143E-3</v>
      </c>
      <c r="V22" s="35">
        <f t="shared" si="3"/>
        <v>0</v>
      </c>
      <c r="W22" s="35">
        <f t="shared" si="4"/>
        <v>0</v>
      </c>
      <c r="X22" s="35">
        <f t="shared" si="5"/>
        <v>0</v>
      </c>
      <c r="Y22" s="35">
        <f t="shared" si="6"/>
        <v>0</v>
      </c>
      <c r="Z22" s="35">
        <f t="shared" si="7"/>
        <v>6.0974795488772195E-2</v>
      </c>
      <c r="AA22" s="35">
        <f t="shared" si="8"/>
        <v>1.6125565749096779E-2</v>
      </c>
      <c r="AB22" s="35">
        <f t="shared" si="9"/>
        <v>4.0259238626373919E-3</v>
      </c>
      <c r="AC22" s="35">
        <f t="shared" si="10"/>
        <v>2.8763322803842823E-3</v>
      </c>
      <c r="AD22" s="35">
        <f t="shared" si="11"/>
        <v>1.5467844236105495E-3</v>
      </c>
      <c r="AE22" s="35">
        <f t="shared" si="12"/>
        <v>0</v>
      </c>
      <c r="AF22" s="35">
        <f t="shared" si="13"/>
        <v>0.84659220182758088</v>
      </c>
      <c r="AG22" s="35">
        <f t="shared" si="14"/>
        <v>4.0313914372741948E-2</v>
      </c>
      <c r="AH22" s="35">
        <f t="shared" si="15"/>
        <v>1.6125565749096779E-2</v>
      </c>
    </row>
    <row r="23" spans="1:34" x14ac:dyDescent="0.2">
      <c r="A23" t="s">
        <v>962</v>
      </c>
      <c r="B23">
        <v>32.85</v>
      </c>
      <c r="C23" s="655">
        <v>92900</v>
      </c>
      <c r="D23" s="655">
        <v>36800</v>
      </c>
      <c r="I23" s="655">
        <v>765000</v>
      </c>
      <c r="J23" s="655">
        <v>191000</v>
      </c>
      <c r="K23">
        <v>48492.1</v>
      </c>
      <c r="L23">
        <v>38344.6</v>
      </c>
      <c r="M23">
        <v>15259.1</v>
      </c>
      <c r="O23" s="655">
        <v>10400000</v>
      </c>
      <c r="P23" s="655">
        <v>496000</v>
      </c>
      <c r="Q23" s="655">
        <v>185000</v>
      </c>
      <c r="R23" s="655">
        <f t="shared" si="0"/>
        <v>12268795.800000001</v>
      </c>
      <c r="T23" s="35">
        <f t="shared" si="1"/>
        <v>7.5720552786443796E-3</v>
      </c>
      <c r="U23" s="35">
        <f t="shared" si="2"/>
        <v>2.9994793784081071E-3</v>
      </c>
      <c r="V23" s="35">
        <f t="shared" si="3"/>
        <v>0</v>
      </c>
      <c r="W23" s="35">
        <f t="shared" si="4"/>
        <v>0</v>
      </c>
      <c r="X23" s="35">
        <f t="shared" si="5"/>
        <v>0</v>
      </c>
      <c r="Y23" s="35">
        <f t="shared" si="6"/>
        <v>0</v>
      </c>
      <c r="Z23" s="35">
        <f t="shared" si="7"/>
        <v>6.235330773049462E-2</v>
      </c>
      <c r="AA23" s="35">
        <f t="shared" si="8"/>
        <v>1.5567950034672514E-2</v>
      </c>
      <c r="AB23" s="35">
        <f t="shared" si="9"/>
        <v>3.952474292546298E-3</v>
      </c>
      <c r="AC23" s="35">
        <f t="shared" si="10"/>
        <v>3.1253760047094429E-3</v>
      </c>
      <c r="AD23" s="35">
        <f t="shared" si="11"/>
        <v>1.2437324941050856E-3</v>
      </c>
      <c r="AE23" s="35">
        <f t="shared" si="12"/>
        <v>0</v>
      </c>
      <c r="AF23" s="35">
        <f t="shared" si="13"/>
        <v>0.84767895476750854</v>
      </c>
      <c r="AG23" s="35">
        <f t="shared" si="14"/>
        <v>4.0427765535065795E-2</v>
      </c>
      <c r="AH23" s="35">
        <f t="shared" si="15"/>
        <v>1.5078904483845105E-2</v>
      </c>
    </row>
    <row r="24" spans="1:34" x14ac:dyDescent="0.2">
      <c r="A24" t="s">
        <v>963</v>
      </c>
      <c r="B24">
        <v>33.15</v>
      </c>
      <c r="C24" s="655">
        <v>46900</v>
      </c>
      <c r="D24" s="655">
        <v>19200</v>
      </c>
      <c r="I24" s="655">
        <v>427000</v>
      </c>
      <c r="J24" s="655">
        <v>104000</v>
      </c>
      <c r="K24">
        <v>35606.1</v>
      </c>
      <c r="L24">
        <v>23194</v>
      </c>
      <c r="M24">
        <v>10262.6</v>
      </c>
      <c r="O24" s="655">
        <v>7230000</v>
      </c>
      <c r="P24" s="655">
        <v>349000</v>
      </c>
      <c r="Q24" s="655">
        <v>136000</v>
      </c>
      <c r="R24" s="655">
        <f t="shared" si="0"/>
        <v>8381162.7000000002</v>
      </c>
      <c r="T24" s="35">
        <f t="shared" si="1"/>
        <v>5.5958822992423236E-3</v>
      </c>
      <c r="U24" s="35">
        <f t="shared" si="2"/>
        <v>2.2908516022484564E-3</v>
      </c>
      <c r="V24" s="35">
        <f t="shared" si="3"/>
        <v>0</v>
      </c>
      <c r="W24" s="35">
        <f t="shared" si="4"/>
        <v>0</v>
      </c>
      <c r="X24" s="35">
        <f t="shared" si="5"/>
        <v>0</v>
      </c>
      <c r="Y24" s="35">
        <f t="shared" si="6"/>
        <v>0</v>
      </c>
      <c r="Z24" s="35">
        <f t="shared" si="7"/>
        <v>5.0947585112504738E-2</v>
      </c>
      <c r="AA24" s="35">
        <f t="shared" si="8"/>
        <v>1.2408779512179139E-2</v>
      </c>
      <c r="AB24" s="35">
        <f t="shared" si="9"/>
        <v>4.2483485018134769E-3</v>
      </c>
      <c r="AC24" s="35">
        <f t="shared" si="10"/>
        <v>2.7673964615911825E-3</v>
      </c>
      <c r="AD24" s="35">
        <f t="shared" si="11"/>
        <v>1.2244840444393234E-3</v>
      </c>
      <c r="AE24" s="35">
        <f t="shared" si="12"/>
        <v>0</v>
      </c>
      <c r="AF24" s="35">
        <f t="shared" si="13"/>
        <v>0.8626488064716844</v>
      </c>
      <c r="AG24" s="35">
        <f t="shared" si="14"/>
        <v>4.1641000478370382E-2</v>
      </c>
      <c r="AH24" s="35">
        <f t="shared" si="15"/>
        <v>1.6226865515926565E-2</v>
      </c>
    </row>
    <row r="25" spans="1:34" x14ac:dyDescent="0.2">
      <c r="A25" t="s">
        <v>964</v>
      </c>
      <c r="B25">
        <v>33.25</v>
      </c>
      <c r="C25" s="655">
        <v>3300</v>
      </c>
      <c r="D25" s="655">
        <v>1170</v>
      </c>
      <c r="I25" s="655">
        <v>27000</v>
      </c>
      <c r="J25" s="655">
        <v>6960</v>
      </c>
      <c r="K25" s="655">
        <v>1770</v>
      </c>
      <c r="L25" s="655">
        <v>1280</v>
      </c>
      <c r="O25" s="655">
        <v>375000</v>
      </c>
      <c r="P25" s="655">
        <v>19500</v>
      </c>
      <c r="Q25" s="655">
        <v>8080</v>
      </c>
      <c r="R25" s="655">
        <f t="shared" si="0"/>
        <v>444060</v>
      </c>
      <c r="T25" s="35">
        <f t="shared" si="1"/>
        <v>7.4314281853803538E-3</v>
      </c>
      <c r="U25" s="35">
        <f t="shared" si="2"/>
        <v>2.63477908390758E-3</v>
      </c>
      <c r="V25" s="35">
        <f t="shared" si="3"/>
        <v>0</v>
      </c>
      <c r="W25" s="35">
        <f t="shared" si="4"/>
        <v>0</v>
      </c>
      <c r="X25" s="35">
        <f t="shared" si="5"/>
        <v>0</v>
      </c>
      <c r="Y25" s="35">
        <f t="shared" si="6"/>
        <v>0</v>
      </c>
      <c r="Z25" s="35">
        <f t="shared" si="7"/>
        <v>6.0802594244021076E-2</v>
      </c>
      <c r="AA25" s="35">
        <f t="shared" si="8"/>
        <v>1.5673557627347654E-2</v>
      </c>
      <c r="AB25" s="35">
        <f t="shared" si="9"/>
        <v>3.9859478448858263E-3</v>
      </c>
      <c r="AC25" s="35">
        <f t="shared" si="10"/>
        <v>2.8824933567535918E-3</v>
      </c>
      <c r="AD25" s="35">
        <f t="shared" si="11"/>
        <v>0</v>
      </c>
      <c r="AE25" s="35">
        <f t="shared" si="12"/>
        <v>0</v>
      </c>
      <c r="AF25" s="35">
        <f t="shared" si="13"/>
        <v>0.84448047561140382</v>
      </c>
      <c r="AG25" s="35">
        <f t="shared" si="14"/>
        <v>4.3912984731793003E-2</v>
      </c>
      <c r="AH25" s="35">
        <f t="shared" si="15"/>
        <v>1.8195739314507048E-2</v>
      </c>
    </row>
    <row r="26" spans="1:34" x14ac:dyDescent="0.2">
      <c r="A26" t="s">
        <v>965</v>
      </c>
      <c r="B26">
        <v>33.35</v>
      </c>
      <c r="C26" s="655">
        <v>123000</v>
      </c>
      <c r="D26" s="655">
        <v>50400</v>
      </c>
      <c r="I26" s="655">
        <v>1060000</v>
      </c>
      <c r="J26" s="655">
        <v>311000</v>
      </c>
      <c r="K26" s="655">
        <v>69500</v>
      </c>
      <c r="L26" s="655">
        <v>54100</v>
      </c>
      <c r="M26">
        <v>22694.799999999999</v>
      </c>
      <c r="O26" s="655">
        <v>12800000</v>
      </c>
      <c r="P26" s="655">
        <v>617000</v>
      </c>
      <c r="Q26" s="655">
        <v>237000</v>
      </c>
      <c r="R26" s="655">
        <f t="shared" si="0"/>
        <v>15344694.800000001</v>
      </c>
      <c r="T26" s="35">
        <f t="shared" si="1"/>
        <v>8.0157997016662725E-3</v>
      </c>
      <c r="U26" s="35">
        <f t="shared" si="2"/>
        <v>3.2845228045852042E-3</v>
      </c>
      <c r="V26" s="35">
        <f t="shared" si="3"/>
        <v>0</v>
      </c>
      <c r="W26" s="35">
        <f t="shared" si="4"/>
        <v>0</v>
      </c>
      <c r="X26" s="35">
        <f t="shared" si="5"/>
        <v>0</v>
      </c>
      <c r="Y26" s="35">
        <f t="shared" si="6"/>
        <v>0</v>
      </c>
      <c r="Z26" s="35">
        <f t="shared" si="7"/>
        <v>6.9079249461514211E-2</v>
      </c>
      <c r="AA26" s="35">
        <f t="shared" si="8"/>
        <v>2.0267591115595208E-2</v>
      </c>
      <c r="AB26" s="35">
        <f t="shared" si="9"/>
        <v>4.5292526769577712E-3</v>
      </c>
      <c r="AC26" s="35">
        <f t="shared" si="10"/>
        <v>3.5256484866678481E-3</v>
      </c>
      <c r="AD26" s="35">
        <f t="shared" si="11"/>
        <v>1.4789997647916724E-3</v>
      </c>
      <c r="AE26" s="35">
        <f t="shared" si="12"/>
        <v>0</v>
      </c>
      <c r="AF26" s="35">
        <f t="shared" si="13"/>
        <v>0.83416452179941691</v>
      </c>
      <c r="AG26" s="35">
        <f t="shared" si="14"/>
        <v>4.0209336714862522E-2</v>
      </c>
      <c r="AH26" s="35">
        <f t="shared" si="15"/>
        <v>1.544507747394233E-2</v>
      </c>
    </row>
    <row r="27" spans="1:34" x14ac:dyDescent="0.2">
      <c r="A27" t="s">
        <v>966</v>
      </c>
      <c r="B27">
        <v>34.75</v>
      </c>
      <c r="C27" s="655">
        <v>9050</v>
      </c>
      <c r="D27" s="655">
        <v>3480</v>
      </c>
      <c r="I27" s="655">
        <v>65600</v>
      </c>
      <c r="J27" s="655">
        <v>19500</v>
      </c>
      <c r="O27" s="655">
        <v>791000</v>
      </c>
      <c r="P27" s="655">
        <v>39800</v>
      </c>
      <c r="Q27" s="655">
        <v>16000</v>
      </c>
      <c r="R27" s="655">
        <f t="shared" si="0"/>
        <v>944430</v>
      </c>
      <c r="T27" s="35">
        <f t="shared" si="1"/>
        <v>9.5824994970511307E-3</v>
      </c>
      <c r="U27" s="35">
        <f t="shared" si="2"/>
        <v>3.6847622375401038E-3</v>
      </c>
      <c r="V27" s="35">
        <f t="shared" si="3"/>
        <v>0</v>
      </c>
      <c r="W27" s="35">
        <f t="shared" si="4"/>
        <v>0</v>
      </c>
      <c r="X27" s="35">
        <f t="shared" si="5"/>
        <v>0</v>
      </c>
      <c r="Y27" s="35">
        <f t="shared" si="6"/>
        <v>0</v>
      </c>
      <c r="Z27" s="35">
        <f t="shared" si="7"/>
        <v>6.945988585707781E-2</v>
      </c>
      <c r="AA27" s="35">
        <f t="shared" si="8"/>
        <v>2.0647374606905754E-2</v>
      </c>
      <c r="AB27" s="35">
        <f t="shared" si="9"/>
        <v>0</v>
      </c>
      <c r="AC27" s="35">
        <f t="shared" si="10"/>
        <v>0</v>
      </c>
      <c r="AD27" s="35">
        <f t="shared" si="11"/>
        <v>0</v>
      </c>
      <c r="AE27" s="35">
        <f t="shared" si="12"/>
        <v>0</v>
      </c>
      <c r="AF27" s="35">
        <f t="shared" si="13"/>
        <v>0.83754222123397182</v>
      </c>
      <c r="AG27" s="35">
        <f t="shared" si="14"/>
        <v>4.214182099255636E-2</v>
      </c>
      <c r="AH27" s="35">
        <f t="shared" si="15"/>
        <v>1.6941435574897027E-2</v>
      </c>
    </row>
    <row r="28" spans="1:34" x14ac:dyDescent="0.2">
      <c r="A28" t="s">
        <v>967</v>
      </c>
      <c r="B28">
        <v>36.25</v>
      </c>
      <c r="C28" s="655">
        <v>5020</v>
      </c>
      <c r="D28" s="655">
        <v>2150</v>
      </c>
      <c r="I28" s="655">
        <v>34500</v>
      </c>
      <c r="J28" s="655">
        <v>7890</v>
      </c>
      <c r="O28" s="655">
        <v>285000</v>
      </c>
      <c r="P28" s="655">
        <v>15400</v>
      </c>
      <c r="Q28" s="655">
        <v>6110</v>
      </c>
      <c r="R28" s="655">
        <f t="shared" si="0"/>
        <v>356070</v>
      </c>
      <c r="T28" s="35">
        <f t="shared" si="1"/>
        <v>1.4098351447749038E-2</v>
      </c>
      <c r="U28" s="35">
        <f t="shared" si="2"/>
        <v>6.0381385682590502E-3</v>
      </c>
      <c r="V28" s="35">
        <f t="shared" si="3"/>
        <v>0</v>
      </c>
      <c r="W28" s="35">
        <f t="shared" si="4"/>
        <v>0</v>
      </c>
      <c r="X28" s="35">
        <f t="shared" si="5"/>
        <v>0</v>
      </c>
      <c r="Y28" s="35">
        <f t="shared" si="6"/>
        <v>0</v>
      </c>
      <c r="Z28" s="35">
        <f t="shared" si="7"/>
        <v>9.6891060746482432E-2</v>
      </c>
      <c r="AA28" s="35">
        <f t="shared" si="8"/>
        <v>2.2158564327239026E-2</v>
      </c>
      <c r="AB28" s="35">
        <f t="shared" si="9"/>
        <v>0</v>
      </c>
      <c r="AC28" s="35">
        <f t="shared" si="10"/>
        <v>0</v>
      </c>
      <c r="AD28" s="35">
        <f t="shared" si="11"/>
        <v>0</v>
      </c>
      <c r="AE28" s="35">
        <f t="shared" si="12"/>
        <v>0</v>
      </c>
      <c r="AF28" s="35">
        <f t="shared" si="13"/>
        <v>0.80040441486224623</v>
      </c>
      <c r="AG28" s="35">
        <f t="shared" si="14"/>
        <v>4.324992276799506E-2</v>
      </c>
      <c r="AH28" s="35">
        <f t="shared" si="15"/>
        <v>1.7159547280029209E-2</v>
      </c>
    </row>
    <row r="29" spans="1:34" x14ac:dyDescent="0.2">
      <c r="A29" t="s">
        <v>968</v>
      </c>
      <c r="B29">
        <v>37.25</v>
      </c>
      <c r="C29" s="655">
        <v>17400</v>
      </c>
      <c r="D29" s="655">
        <v>6980</v>
      </c>
      <c r="I29" s="655">
        <v>131000</v>
      </c>
      <c r="J29" s="655">
        <v>37800</v>
      </c>
      <c r="O29" s="655">
        <v>1460000</v>
      </c>
      <c r="P29" s="655">
        <v>78800</v>
      </c>
      <c r="Q29" s="655">
        <v>30300</v>
      </c>
      <c r="R29" s="655">
        <f t="shared" si="0"/>
        <v>1762280</v>
      </c>
      <c r="T29" s="35">
        <f t="shared" si="1"/>
        <v>9.8735728715073651E-3</v>
      </c>
      <c r="U29" s="35">
        <f t="shared" si="2"/>
        <v>3.9607780829380122E-3</v>
      </c>
      <c r="V29" s="35">
        <f t="shared" si="3"/>
        <v>0</v>
      </c>
      <c r="W29" s="35">
        <f t="shared" si="4"/>
        <v>0</v>
      </c>
      <c r="X29" s="35">
        <f t="shared" si="5"/>
        <v>0</v>
      </c>
      <c r="Y29" s="35">
        <f t="shared" si="6"/>
        <v>0</v>
      </c>
      <c r="Z29" s="35">
        <f t="shared" si="7"/>
        <v>7.4335519894681887E-2</v>
      </c>
      <c r="AA29" s="35">
        <f t="shared" si="8"/>
        <v>2.1449485893274622E-2</v>
      </c>
      <c r="AB29" s="35">
        <f t="shared" si="9"/>
        <v>0</v>
      </c>
      <c r="AC29" s="35">
        <f t="shared" si="10"/>
        <v>0</v>
      </c>
      <c r="AD29" s="35">
        <f t="shared" si="11"/>
        <v>0</v>
      </c>
      <c r="AE29" s="35">
        <f t="shared" si="12"/>
        <v>0</v>
      </c>
      <c r="AF29" s="35">
        <f t="shared" si="13"/>
        <v>0.82847220645981345</v>
      </c>
      <c r="AG29" s="35">
        <f t="shared" si="14"/>
        <v>4.471480128015979E-2</v>
      </c>
      <c r="AH29" s="35">
        <f t="shared" si="15"/>
        <v>1.7193635517624897E-2</v>
      </c>
    </row>
    <row r="30" spans="1:34" x14ac:dyDescent="0.2">
      <c r="A30" t="s">
        <v>969</v>
      </c>
      <c r="B30">
        <v>37.83</v>
      </c>
      <c r="C30" s="655">
        <v>13600</v>
      </c>
      <c r="D30" s="655">
        <v>5840</v>
      </c>
      <c r="I30" s="655">
        <v>114000</v>
      </c>
      <c r="J30" s="655">
        <v>28800</v>
      </c>
      <c r="O30" s="655">
        <v>1060000</v>
      </c>
      <c r="P30" s="655">
        <v>57800</v>
      </c>
      <c r="Q30" s="655">
        <v>22500</v>
      </c>
      <c r="R30" s="655">
        <f t="shared" si="0"/>
        <v>1302540</v>
      </c>
      <c r="T30" s="35">
        <f t="shared" si="1"/>
        <v>1.0441138084051161E-2</v>
      </c>
      <c r="U30" s="35">
        <f t="shared" si="2"/>
        <v>4.4835475302102048E-3</v>
      </c>
      <c r="V30" s="35">
        <f t="shared" si="3"/>
        <v>0</v>
      </c>
      <c r="W30" s="35">
        <f t="shared" si="4"/>
        <v>0</v>
      </c>
      <c r="X30" s="35">
        <f t="shared" si="5"/>
        <v>0</v>
      </c>
      <c r="Y30" s="35">
        <f t="shared" si="6"/>
        <v>0</v>
      </c>
      <c r="Z30" s="35">
        <f t="shared" si="7"/>
        <v>8.7521304528075911E-2</v>
      </c>
      <c r="AA30" s="35">
        <f t="shared" si="8"/>
        <v>2.2110645354461285E-2</v>
      </c>
      <c r="AB30" s="35">
        <f t="shared" si="9"/>
        <v>0</v>
      </c>
      <c r="AC30" s="35">
        <f t="shared" si="10"/>
        <v>0</v>
      </c>
      <c r="AD30" s="35">
        <f t="shared" si="11"/>
        <v>0</v>
      </c>
      <c r="AE30" s="35">
        <f t="shared" si="12"/>
        <v>0</v>
      </c>
      <c r="AF30" s="35">
        <f t="shared" si="13"/>
        <v>0.81379458596281107</v>
      </c>
      <c r="AG30" s="35">
        <f t="shared" si="14"/>
        <v>4.4374836857217437E-2</v>
      </c>
      <c r="AH30" s="35">
        <f t="shared" si="15"/>
        <v>1.7273941683172877E-2</v>
      </c>
    </row>
    <row r="31" spans="1:34" x14ac:dyDescent="0.2">
      <c r="A31" t="s">
        <v>970</v>
      </c>
      <c r="B31">
        <v>38.75</v>
      </c>
      <c r="C31" s="655">
        <v>11700</v>
      </c>
      <c r="D31" s="655">
        <v>4820</v>
      </c>
      <c r="I31" s="655">
        <v>84100</v>
      </c>
      <c r="J31" s="655">
        <v>23200</v>
      </c>
      <c r="O31" s="655">
        <v>864000</v>
      </c>
      <c r="P31" s="655">
        <v>43500</v>
      </c>
      <c r="Q31" s="655">
        <v>17300</v>
      </c>
      <c r="R31" s="655">
        <f t="shared" si="0"/>
        <v>1048620</v>
      </c>
      <c r="T31" s="35">
        <f t="shared" si="1"/>
        <v>1.1157521313726613E-2</v>
      </c>
      <c r="U31" s="35">
        <f t="shared" si="2"/>
        <v>4.5965173275352364E-3</v>
      </c>
      <c r="V31" s="35">
        <f t="shared" si="3"/>
        <v>0</v>
      </c>
      <c r="W31" s="35">
        <f t="shared" si="4"/>
        <v>0</v>
      </c>
      <c r="X31" s="35">
        <f t="shared" si="5"/>
        <v>0</v>
      </c>
      <c r="Y31" s="35">
        <f t="shared" si="6"/>
        <v>0</v>
      </c>
      <c r="Z31" s="35">
        <f t="shared" si="7"/>
        <v>8.0200644656787015E-2</v>
      </c>
      <c r="AA31" s="35">
        <f t="shared" si="8"/>
        <v>2.2124315767389522E-2</v>
      </c>
      <c r="AB31" s="35">
        <f t="shared" si="9"/>
        <v>0</v>
      </c>
      <c r="AC31" s="35">
        <f t="shared" si="10"/>
        <v>0</v>
      </c>
      <c r="AD31" s="35">
        <f t="shared" si="11"/>
        <v>0</v>
      </c>
      <c r="AE31" s="35">
        <f t="shared" si="12"/>
        <v>0</v>
      </c>
      <c r="AF31" s="35">
        <f t="shared" si="13"/>
        <v>0.82394003547519601</v>
      </c>
      <c r="AG31" s="35">
        <f t="shared" si="14"/>
        <v>4.1483092063855351E-2</v>
      </c>
      <c r="AH31" s="35">
        <f t="shared" si="15"/>
        <v>1.6497873395510291E-2</v>
      </c>
    </row>
    <row r="32" spans="1:34" x14ac:dyDescent="0.2">
      <c r="A32" t="s">
        <v>971</v>
      </c>
      <c r="B32">
        <v>40.25</v>
      </c>
      <c r="C32" s="655">
        <v>18200</v>
      </c>
      <c r="D32" s="655">
        <v>7820</v>
      </c>
      <c r="I32" s="655">
        <v>140000</v>
      </c>
      <c r="J32" s="655">
        <v>39500</v>
      </c>
      <c r="O32" s="655">
        <v>1380000</v>
      </c>
      <c r="P32" s="655">
        <v>78100</v>
      </c>
      <c r="Q32" s="655">
        <v>31100</v>
      </c>
      <c r="R32" s="655">
        <f t="shared" si="0"/>
        <v>1694720</v>
      </c>
      <c r="T32" s="35">
        <f t="shared" si="1"/>
        <v>1.0739237160120846E-2</v>
      </c>
      <c r="U32" s="35">
        <f t="shared" si="2"/>
        <v>4.614331570996979E-3</v>
      </c>
      <c r="V32" s="35">
        <f t="shared" si="3"/>
        <v>0</v>
      </c>
      <c r="W32" s="35">
        <f t="shared" si="4"/>
        <v>0</v>
      </c>
      <c r="X32" s="35">
        <f t="shared" si="5"/>
        <v>0</v>
      </c>
      <c r="Y32" s="35">
        <f t="shared" si="6"/>
        <v>0</v>
      </c>
      <c r="Z32" s="35">
        <f t="shared" si="7"/>
        <v>8.2609516616314202E-2</v>
      </c>
      <c r="AA32" s="35">
        <f t="shared" si="8"/>
        <v>2.330768504531722E-2</v>
      </c>
      <c r="AB32" s="35">
        <f t="shared" si="9"/>
        <v>0</v>
      </c>
      <c r="AC32" s="35">
        <f t="shared" si="10"/>
        <v>0</v>
      </c>
      <c r="AD32" s="35">
        <f t="shared" si="11"/>
        <v>0</v>
      </c>
      <c r="AE32" s="35">
        <f t="shared" si="12"/>
        <v>0</v>
      </c>
      <c r="AF32" s="35">
        <f t="shared" si="13"/>
        <v>0.81429380664652573</v>
      </c>
      <c r="AG32" s="35">
        <f t="shared" si="14"/>
        <v>4.6084308912386705E-2</v>
      </c>
      <c r="AH32" s="35">
        <f t="shared" si="15"/>
        <v>1.835111404833837E-2</v>
      </c>
    </row>
    <row r="33" spans="1:34" x14ac:dyDescent="0.2">
      <c r="A33" t="s">
        <v>972</v>
      </c>
      <c r="B33">
        <v>41.25</v>
      </c>
      <c r="C33" s="655">
        <v>6380</v>
      </c>
      <c r="D33" s="655">
        <v>2960</v>
      </c>
      <c r="I33" s="655">
        <v>46500</v>
      </c>
      <c r="J33" s="655">
        <v>19700</v>
      </c>
      <c r="O33" s="655">
        <v>545000</v>
      </c>
      <c r="P33" s="655">
        <v>31400</v>
      </c>
      <c r="Q33" s="655">
        <v>11600</v>
      </c>
      <c r="R33" s="655">
        <f t="shared" si="0"/>
        <v>663540</v>
      </c>
      <c r="T33" s="35">
        <f t="shared" si="1"/>
        <v>9.6150947945866112E-3</v>
      </c>
      <c r="U33" s="35">
        <f t="shared" si="2"/>
        <v>4.4609217228803091E-3</v>
      </c>
      <c r="V33" s="35">
        <f t="shared" si="3"/>
        <v>0</v>
      </c>
      <c r="W33" s="35">
        <f t="shared" si="4"/>
        <v>0</v>
      </c>
      <c r="X33" s="35">
        <f t="shared" si="5"/>
        <v>0</v>
      </c>
      <c r="Y33" s="35">
        <f t="shared" si="6"/>
        <v>0</v>
      </c>
      <c r="Z33" s="35">
        <f t="shared" si="7"/>
        <v>7.0078668957410259E-2</v>
      </c>
      <c r="AA33" s="35">
        <f t="shared" si="8"/>
        <v>2.9689242547548001E-2</v>
      </c>
      <c r="AB33" s="35">
        <f t="shared" si="9"/>
        <v>0</v>
      </c>
      <c r="AC33" s="35">
        <f t="shared" si="10"/>
        <v>0</v>
      </c>
      <c r="AD33" s="35">
        <f t="shared" si="11"/>
        <v>0</v>
      </c>
      <c r="AE33" s="35">
        <f t="shared" si="12"/>
        <v>0</v>
      </c>
      <c r="AF33" s="35">
        <f t="shared" si="13"/>
        <v>0.82135214154384062</v>
      </c>
      <c r="AG33" s="35">
        <f t="shared" si="14"/>
        <v>4.7321939898122195E-2</v>
      </c>
      <c r="AH33" s="35">
        <f t="shared" si="15"/>
        <v>1.7481990535612019E-2</v>
      </c>
    </row>
    <row r="34" spans="1:34" x14ac:dyDescent="0.2">
      <c r="A34" t="s">
        <v>973</v>
      </c>
      <c r="B34">
        <v>42.75</v>
      </c>
      <c r="C34" s="655">
        <v>27300</v>
      </c>
      <c r="D34" s="655">
        <v>11400</v>
      </c>
      <c r="I34" s="655">
        <v>208000</v>
      </c>
      <c r="J34" s="655">
        <v>56200</v>
      </c>
      <c r="O34" s="655">
        <v>2140000</v>
      </c>
      <c r="P34" s="655">
        <v>119000</v>
      </c>
      <c r="Q34" s="655">
        <v>46300</v>
      </c>
      <c r="R34" s="655">
        <f t="shared" si="0"/>
        <v>2608200</v>
      </c>
      <c r="T34" s="35">
        <f t="shared" si="1"/>
        <v>1.0466988727858293E-2</v>
      </c>
      <c r="U34" s="35">
        <f t="shared" si="2"/>
        <v>4.3708304577869794E-3</v>
      </c>
      <c r="V34" s="35">
        <f t="shared" si="3"/>
        <v>0</v>
      </c>
      <c r="W34" s="35">
        <f t="shared" si="4"/>
        <v>0</v>
      </c>
      <c r="X34" s="35">
        <f t="shared" si="5"/>
        <v>0</v>
      </c>
      <c r="Y34" s="35">
        <f t="shared" si="6"/>
        <v>0</v>
      </c>
      <c r="Z34" s="35">
        <f t="shared" si="7"/>
        <v>7.9748485545587E-2</v>
      </c>
      <c r="AA34" s="35">
        <f t="shared" si="8"/>
        <v>2.1547427344528795E-2</v>
      </c>
      <c r="AB34" s="35">
        <f t="shared" si="9"/>
        <v>0</v>
      </c>
      <c r="AC34" s="35">
        <f t="shared" si="10"/>
        <v>0</v>
      </c>
      <c r="AD34" s="35">
        <f t="shared" si="11"/>
        <v>0</v>
      </c>
      <c r="AE34" s="35">
        <f t="shared" si="12"/>
        <v>0</v>
      </c>
      <c r="AF34" s="35">
        <f t="shared" si="13"/>
        <v>0.8204892262863277</v>
      </c>
      <c r="AG34" s="35">
        <f t="shared" si="14"/>
        <v>4.5625335480407946E-2</v>
      </c>
      <c r="AH34" s="35">
        <f t="shared" si="15"/>
        <v>1.7751706157503259E-2</v>
      </c>
    </row>
    <row r="35" spans="1:34" x14ac:dyDescent="0.2">
      <c r="A35" t="s">
        <v>974</v>
      </c>
      <c r="B35">
        <v>43.75</v>
      </c>
      <c r="C35" s="655">
        <v>28100</v>
      </c>
      <c r="D35" s="655">
        <v>11400</v>
      </c>
      <c r="I35" s="655">
        <v>216000</v>
      </c>
      <c r="J35" s="655">
        <v>61100</v>
      </c>
      <c r="O35" s="655">
        <v>2180000</v>
      </c>
      <c r="P35" s="655">
        <v>114000</v>
      </c>
      <c r="Q35" s="655">
        <v>46400</v>
      </c>
      <c r="R35" s="655">
        <f t="shared" si="0"/>
        <v>2657000</v>
      </c>
      <c r="T35" s="35">
        <f t="shared" si="1"/>
        <v>1.0575837410613473E-2</v>
      </c>
      <c r="U35" s="35">
        <f t="shared" si="2"/>
        <v>4.2905532555513734E-3</v>
      </c>
      <c r="V35" s="35">
        <f t="shared" si="3"/>
        <v>0</v>
      </c>
      <c r="W35" s="35">
        <f t="shared" si="4"/>
        <v>0</v>
      </c>
      <c r="X35" s="35">
        <f t="shared" si="5"/>
        <v>0</v>
      </c>
      <c r="Y35" s="35">
        <f t="shared" si="6"/>
        <v>0</v>
      </c>
      <c r="Z35" s="35">
        <f t="shared" si="7"/>
        <v>8.1294693263078657E-2</v>
      </c>
      <c r="AA35" s="35">
        <f t="shared" si="8"/>
        <v>2.2995859992472712E-2</v>
      </c>
      <c r="AB35" s="35">
        <f t="shared" si="9"/>
        <v>0</v>
      </c>
      <c r="AC35" s="35">
        <f t="shared" si="10"/>
        <v>0</v>
      </c>
      <c r="AD35" s="35">
        <f t="shared" si="11"/>
        <v>0</v>
      </c>
      <c r="AE35" s="35">
        <f t="shared" si="12"/>
        <v>0</v>
      </c>
      <c r="AF35" s="35">
        <f t="shared" si="13"/>
        <v>0.82047421904403461</v>
      </c>
      <c r="AG35" s="35">
        <f t="shared" si="14"/>
        <v>4.2905532555513735E-2</v>
      </c>
      <c r="AH35" s="35">
        <f t="shared" si="15"/>
        <v>1.7463304478735415E-2</v>
      </c>
    </row>
    <row r="36" spans="1:34" x14ac:dyDescent="0.2">
      <c r="A36" t="s">
        <v>975</v>
      </c>
      <c r="B36">
        <v>44.75</v>
      </c>
      <c r="C36" s="655">
        <v>40400</v>
      </c>
      <c r="D36" s="655">
        <v>17400</v>
      </c>
      <c r="I36" s="655">
        <v>280000</v>
      </c>
      <c r="J36" s="655">
        <v>74900</v>
      </c>
      <c r="O36" s="655">
        <v>2490000</v>
      </c>
      <c r="P36" s="655">
        <v>146000</v>
      </c>
      <c r="Q36" s="655">
        <v>56100</v>
      </c>
      <c r="R36" s="655">
        <f t="shared" si="0"/>
        <v>3104800</v>
      </c>
      <c r="T36" s="35">
        <f t="shared" si="1"/>
        <v>1.301211028085545E-2</v>
      </c>
      <c r="U36" s="35">
        <f t="shared" si="2"/>
        <v>5.6042257150219019E-3</v>
      </c>
      <c r="V36" s="35">
        <f t="shared" si="3"/>
        <v>0</v>
      </c>
      <c r="W36" s="35">
        <f t="shared" si="4"/>
        <v>0</v>
      </c>
      <c r="X36" s="35">
        <f t="shared" si="5"/>
        <v>0</v>
      </c>
      <c r="Y36" s="35">
        <f t="shared" si="6"/>
        <v>0</v>
      </c>
      <c r="Z36" s="35">
        <f t="shared" si="7"/>
        <v>9.0182942540582331E-2</v>
      </c>
      <c r="AA36" s="35">
        <f t="shared" si="8"/>
        <v>2.4123937129605772E-2</v>
      </c>
      <c r="AB36" s="35">
        <f t="shared" si="9"/>
        <v>0</v>
      </c>
      <c r="AC36" s="35">
        <f t="shared" si="10"/>
        <v>0</v>
      </c>
      <c r="AD36" s="35">
        <f t="shared" si="11"/>
        <v>0</v>
      </c>
      <c r="AE36" s="35">
        <f t="shared" si="12"/>
        <v>0</v>
      </c>
      <c r="AF36" s="35">
        <f t="shared" si="13"/>
        <v>0.80198402473589281</v>
      </c>
      <c r="AG36" s="35">
        <f t="shared" si="14"/>
        <v>4.702396289616078E-2</v>
      </c>
      <c r="AH36" s="35">
        <f t="shared" si="15"/>
        <v>1.8068796701880958E-2</v>
      </c>
    </row>
    <row r="37" spans="1:34" x14ac:dyDescent="0.2">
      <c r="A37" t="s">
        <v>976</v>
      </c>
      <c r="B37">
        <v>45.75</v>
      </c>
      <c r="C37" s="655">
        <v>17700</v>
      </c>
      <c r="D37" s="655">
        <v>8020</v>
      </c>
      <c r="I37" s="655">
        <v>148000</v>
      </c>
      <c r="J37" s="655">
        <v>44700</v>
      </c>
      <c r="O37" s="655">
        <v>1620000</v>
      </c>
      <c r="P37" s="655">
        <v>91600</v>
      </c>
      <c r="Q37" s="655">
        <v>35900</v>
      </c>
      <c r="R37" s="655">
        <f t="shared" si="0"/>
        <v>1965920</v>
      </c>
      <c r="T37" s="35">
        <f t="shared" si="1"/>
        <v>9.0034182469276476E-3</v>
      </c>
      <c r="U37" s="35">
        <f t="shared" si="2"/>
        <v>4.079514934483601E-3</v>
      </c>
      <c r="V37" s="35">
        <f t="shared" si="3"/>
        <v>0</v>
      </c>
      <c r="W37" s="35">
        <f t="shared" si="4"/>
        <v>0</v>
      </c>
      <c r="X37" s="35">
        <f t="shared" si="5"/>
        <v>0</v>
      </c>
      <c r="Y37" s="35">
        <f t="shared" si="6"/>
        <v>0</v>
      </c>
      <c r="Z37" s="35">
        <f t="shared" si="7"/>
        <v>7.528281923984699E-2</v>
      </c>
      <c r="AA37" s="35">
        <f t="shared" si="8"/>
        <v>2.2737446081224057E-2</v>
      </c>
      <c r="AB37" s="35">
        <f t="shared" si="9"/>
        <v>0</v>
      </c>
      <c r="AC37" s="35">
        <f t="shared" si="10"/>
        <v>0</v>
      </c>
      <c r="AD37" s="35">
        <f t="shared" si="11"/>
        <v>0</v>
      </c>
      <c r="AE37" s="35">
        <f t="shared" si="12"/>
        <v>0</v>
      </c>
      <c r="AF37" s="35">
        <f t="shared" si="13"/>
        <v>0.82404167005778461</v>
      </c>
      <c r="AG37" s="35">
        <f t="shared" si="14"/>
        <v>4.6593961097094488E-2</v>
      </c>
      <c r="AH37" s="35">
        <f t="shared" si="15"/>
        <v>1.826117034263856E-2</v>
      </c>
    </row>
    <row r="38" spans="1:34" x14ac:dyDescent="0.2">
      <c r="A38" t="s">
        <v>977</v>
      </c>
      <c r="B38">
        <v>45.93</v>
      </c>
      <c r="C38" s="655">
        <v>5720</v>
      </c>
      <c r="D38" s="655">
        <v>2620</v>
      </c>
      <c r="I38" s="655">
        <v>37600</v>
      </c>
      <c r="J38" s="655">
        <v>11000</v>
      </c>
      <c r="O38" s="655">
        <v>492000</v>
      </c>
      <c r="P38" s="655">
        <v>26400</v>
      </c>
      <c r="Q38" s="655">
        <v>13100</v>
      </c>
      <c r="R38" s="655">
        <f t="shared" si="0"/>
        <v>588440</v>
      </c>
      <c r="T38" s="35">
        <f t="shared" si="1"/>
        <v>9.7206172252056293E-3</v>
      </c>
      <c r="U38" s="35">
        <f t="shared" si="2"/>
        <v>4.4524505472095712E-3</v>
      </c>
      <c r="V38" s="35">
        <f t="shared" si="3"/>
        <v>0</v>
      </c>
      <c r="W38" s="35">
        <f t="shared" si="4"/>
        <v>0</v>
      </c>
      <c r="X38" s="35">
        <f t="shared" si="5"/>
        <v>0</v>
      </c>
      <c r="Y38" s="35">
        <f t="shared" si="6"/>
        <v>0</v>
      </c>
      <c r="Z38" s="35">
        <f t="shared" si="7"/>
        <v>6.3897763578274758E-2</v>
      </c>
      <c r="AA38" s="35">
        <f t="shared" si="8"/>
        <v>1.8693494663856978E-2</v>
      </c>
      <c r="AB38" s="35">
        <f t="shared" si="9"/>
        <v>0</v>
      </c>
      <c r="AC38" s="35">
        <f t="shared" si="10"/>
        <v>0</v>
      </c>
      <c r="AD38" s="35">
        <f t="shared" si="11"/>
        <v>0</v>
      </c>
      <c r="AE38" s="35">
        <f t="shared" si="12"/>
        <v>0</v>
      </c>
      <c r="AF38" s="35">
        <f t="shared" si="13"/>
        <v>0.83610903405614845</v>
      </c>
      <c r="AG38" s="35">
        <f t="shared" si="14"/>
        <v>4.486438719325675E-2</v>
      </c>
      <c r="AH38" s="35">
        <f t="shared" si="15"/>
        <v>2.2262252736047854E-2</v>
      </c>
    </row>
    <row r="39" spans="1:34" x14ac:dyDescent="0.2">
      <c r="A39" t="s">
        <v>978</v>
      </c>
      <c r="B39">
        <v>46.3</v>
      </c>
      <c r="C39" s="655">
        <v>20600</v>
      </c>
      <c r="D39" s="655">
        <v>7980</v>
      </c>
      <c r="I39" s="655">
        <v>157000</v>
      </c>
      <c r="J39" s="655">
        <v>44200</v>
      </c>
      <c r="O39" s="655">
        <v>1710000</v>
      </c>
      <c r="P39" s="655">
        <v>95000</v>
      </c>
      <c r="Q39" s="655">
        <v>37200</v>
      </c>
      <c r="R39" s="655">
        <f t="shared" si="0"/>
        <v>2071980</v>
      </c>
      <c r="T39" s="35">
        <f t="shared" si="1"/>
        <v>9.9421809090821343E-3</v>
      </c>
      <c r="U39" s="35">
        <f t="shared" si="2"/>
        <v>3.851388526916283E-3</v>
      </c>
      <c r="V39" s="35">
        <f t="shared" si="3"/>
        <v>0</v>
      </c>
      <c r="W39" s="35">
        <f t="shared" si="4"/>
        <v>0</v>
      </c>
      <c r="X39" s="35">
        <f t="shared" si="5"/>
        <v>0</v>
      </c>
      <c r="Y39" s="35">
        <f t="shared" si="6"/>
        <v>0</v>
      </c>
      <c r="Z39" s="35">
        <f t="shared" si="7"/>
        <v>7.5772932171159949E-2</v>
      </c>
      <c r="AA39" s="35">
        <f t="shared" si="8"/>
        <v>2.1332252241817007E-2</v>
      </c>
      <c r="AB39" s="35">
        <f t="shared" si="9"/>
        <v>0</v>
      </c>
      <c r="AC39" s="35">
        <f t="shared" si="10"/>
        <v>0</v>
      </c>
      <c r="AD39" s="35">
        <f t="shared" si="11"/>
        <v>0</v>
      </c>
      <c r="AE39" s="35">
        <f t="shared" si="12"/>
        <v>0</v>
      </c>
      <c r="AF39" s="35">
        <f t="shared" si="13"/>
        <v>0.82529754148206069</v>
      </c>
      <c r="AG39" s="35">
        <f t="shared" si="14"/>
        <v>4.5849863415670038E-2</v>
      </c>
      <c r="AH39" s="35">
        <f t="shared" si="15"/>
        <v>1.795384125329395E-2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Q48"/>
  <sheetViews>
    <sheetView workbookViewId="0">
      <selection activeCell="E45" sqref="E45"/>
    </sheetView>
  </sheetViews>
  <sheetFormatPr baseColWidth="10" defaultColWidth="8.83203125" defaultRowHeight="15" x14ac:dyDescent="0.2"/>
  <cols>
    <col min="5" max="5" width="11.33203125" customWidth="1"/>
    <col min="6" max="17" width="8.83203125" style="3"/>
  </cols>
  <sheetData>
    <row r="1" spans="2:17" x14ac:dyDescent="0.2">
      <c r="B1" t="s">
        <v>808</v>
      </c>
    </row>
    <row r="2" spans="2:17" x14ac:dyDescent="0.2">
      <c r="B2" t="s">
        <v>18</v>
      </c>
    </row>
    <row r="4" spans="2:17" x14ac:dyDescent="0.2">
      <c r="B4" t="s">
        <v>817</v>
      </c>
      <c r="F4" s="645" t="s">
        <v>810</v>
      </c>
      <c r="G4" s="645"/>
      <c r="H4" s="645"/>
      <c r="I4" s="645" t="s">
        <v>814</v>
      </c>
      <c r="J4" s="645"/>
      <c r="K4" s="645"/>
      <c r="L4" s="645" t="s">
        <v>815</v>
      </c>
      <c r="M4" s="645"/>
      <c r="N4" s="645"/>
      <c r="O4" s="645" t="s">
        <v>816</v>
      </c>
      <c r="P4" s="645"/>
      <c r="Q4" s="645"/>
    </row>
    <row r="5" spans="2:17" x14ac:dyDescent="0.2">
      <c r="B5" t="s">
        <v>367</v>
      </c>
      <c r="C5" t="s">
        <v>809</v>
      </c>
      <c r="D5" t="s">
        <v>0</v>
      </c>
      <c r="E5" t="s">
        <v>819</v>
      </c>
      <c r="F5" s="3" t="s">
        <v>811</v>
      </c>
      <c r="G5" s="3" t="s">
        <v>812</v>
      </c>
      <c r="H5" s="3" t="s">
        <v>813</v>
      </c>
      <c r="I5" s="3" t="s">
        <v>811</v>
      </c>
      <c r="J5" s="3" t="s">
        <v>812</v>
      </c>
      <c r="K5" s="3" t="s">
        <v>813</v>
      </c>
      <c r="L5" s="3" t="s">
        <v>811</v>
      </c>
      <c r="M5" s="3" t="s">
        <v>812</v>
      </c>
      <c r="N5" s="3" t="s">
        <v>813</v>
      </c>
      <c r="O5" s="3" t="s">
        <v>811</v>
      </c>
      <c r="P5" s="3" t="s">
        <v>812</v>
      </c>
      <c r="Q5" s="3" t="s">
        <v>813</v>
      </c>
    </row>
    <row r="6" spans="2:17" x14ac:dyDescent="0.2">
      <c r="B6" t="s">
        <v>806</v>
      </c>
      <c r="C6">
        <v>1.8</v>
      </c>
      <c r="D6" t="s">
        <v>818</v>
      </c>
      <c r="E6" t="s">
        <v>674</v>
      </c>
      <c r="F6" s="292">
        <v>16</v>
      </c>
      <c r="G6" s="506">
        <v>18.7</v>
      </c>
      <c r="H6" s="292">
        <v>22</v>
      </c>
      <c r="I6" s="3">
        <v>6.4</v>
      </c>
      <c r="J6" s="3">
        <v>8.8000000000000007</v>
      </c>
      <c r="K6" s="3">
        <v>11</v>
      </c>
      <c r="L6" s="3">
        <v>25</v>
      </c>
      <c r="M6" s="3">
        <v>26.2</v>
      </c>
      <c r="N6" s="3">
        <v>28</v>
      </c>
      <c r="O6" s="3">
        <v>1000</v>
      </c>
      <c r="P6" s="3">
        <v>1153</v>
      </c>
      <c r="Q6" s="3">
        <v>1300</v>
      </c>
    </row>
    <row r="7" spans="2:17" x14ac:dyDescent="0.2">
      <c r="B7" t="s">
        <v>805</v>
      </c>
      <c r="C7">
        <v>1.6</v>
      </c>
      <c r="D7" t="s">
        <v>818</v>
      </c>
      <c r="E7" t="s">
        <v>674</v>
      </c>
      <c r="F7" s="292">
        <v>16</v>
      </c>
      <c r="G7" s="506">
        <v>18.3</v>
      </c>
      <c r="H7" s="292">
        <v>22</v>
      </c>
      <c r="I7" s="3">
        <v>5</v>
      </c>
      <c r="J7" s="3">
        <v>10.4</v>
      </c>
      <c r="K7" s="3">
        <v>15.5</v>
      </c>
      <c r="L7" s="3">
        <v>25</v>
      </c>
      <c r="M7" s="3">
        <v>25.9</v>
      </c>
      <c r="N7" s="3">
        <v>27</v>
      </c>
      <c r="O7" s="3">
        <v>800</v>
      </c>
      <c r="P7" s="3">
        <v>1086</v>
      </c>
      <c r="Q7" s="3">
        <v>1300</v>
      </c>
    </row>
    <row r="8" spans="2:17" x14ac:dyDescent="0.2">
      <c r="B8" t="s">
        <v>804</v>
      </c>
      <c r="C8">
        <v>1.4</v>
      </c>
      <c r="D8" t="s">
        <v>818</v>
      </c>
      <c r="E8" t="s">
        <v>674</v>
      </c>
      <c r="F8" s="292">
        <v>16</v>
      </c>
      <c r="G8" s="506">
        <v>19.3</v>
      </c>
      <c r="H8" s="292">
        <v>25</v>
      </c>
      <c r="I8" s="3">
        <v>10</v>
      </c>
      <c r="J8" s="3">
        <v>12.1</v>
      </c>
      <c r="K8" s="3">
        <v>15.5</v>
      </c>
      <c r="L8" s="3">
        <v>25</v>
      </c>
      <c r="M8" s="3">
        <v>26.4</v>
      </c>
      <c r="N8" s="3">
        <v>27.8</v>
      </c>
      <c r="O8" s="3">
        <v>1100</v>
      </c>
      <c r="P8" s="3">
        <v>1212</v>
      </c>
      <c r="Q8" s="3">
        <v>1300</v>
      </c>
    </row>
    <row r="9" spans="2:17" x14ac:dyDescent="0.2">
      <c r="B9" t="s">
        <v>803</v>
      </c>
      <c r="C9">
        <v>1.2</v>
      </c>
      <c r="D9" t="s">
        <v>818</v>
      </c>
      <c r="E9" t="s">
        <v>674</v>
      </c>
      <c r="F9" s="292">
        <v>16</v>
      </c>
      <c r="G9" s="506">
        <v>19.3</v>
      </c>
      <c r="H9" s="292">
        <v>25</v>
      </c>
      <c r="I9" s="3">
        <v>10</v>
      </c>
      <c r="J9" s="3">
        <v>12.1</v>
      </c>
      <c r="K9" s="3">
        <v>15.5</v>
      </c>
      <c r="L9" s="3">
        <v>25</v>
      </c>
      <c r="M9" s="3">
        <v>26.4</v>
      </c>
      <c r="N9" s="3">
        <v>28</v>
      </c>
      <c r="O9" s="3">
        <v>1100</v>
      </c>
      <c r="P9" s="3">
        <v>1205</v>
      </c>
      <c r="Q9" s="3">
        <v>1300</v>
      </c>
    </row>
    <row r="10" spans="2:17" x14ac:dyDescent="0.2">
      <c r="B10" t="s">
        <v>802</v>
      </c>
      <c r="C10">
        <v>1</v>
      </c>
      <c r="D10" t="s">
        <v>818</v>
      </c>
      <c r="E10" t="s">
        <v>674</v>
      </c>
      <c r="F10" s="292">
        <v>16</v>
      </c>
      <c r="G10" s="506">
        <v>18.100000000000001</v>
      </c>
      <c r="H10" s="292">
        <v>20</v>
      </c>
      <c r="I10" s="3">
        <v>5</v>
      </c>
      <c r="J10" s="3">
        <v>5.6</v>
      </c>
      <c r="K10" s="3">
        <v>8</v>
      </c>
      <c r="L10" s="3">
        <v>25</v>
      </c>
      <c r="M10" s="3">
        <v>26.1</v>
      </c>
      <c r="N10" s="3">
        <v>27</v>
      </c>
      <c r="O10" s="3">
        <v>800</v>
      </c>
      <c r="P10" s="3">
        <v>1087</v>
      </c>
      <c r="Q10" s="3">
        <v>1300</v>
      </c>
    </row>
    <row r="11" spans="2:17" x14ac:dyDescent="0.2">
      <c r="B11" t="s">
        <v>801</v>
      </c>
      <c r="C11">
        <v>0.8</v>
      </c>
      <c r="D11" t="s">
        <v>818</v>
      </c>
      <c r="E11" t="s">
        <v>674</v>
      </c>
      <c r="F11" s="292">
        <v>15</v>
      </c>
      <c r="G11" s="506">
        <v>18.7</v>
      </c>
      <c r="H11" s="292">
        <v>25</v>
      </c>
      <c r="I11" s="3">
        <v>5</v>
      </c>
      <c r="J11" s="3">
        <v>9.1</v>
      </c>
      <c r="K11" s="3">
        <v>15.5</v>
      </c>
      <c r="L11" s="3">
        <v>22.5</v>
      </c>
      <c r="M11" s="3">
        <v>25.2</v>
      </c>
      <c r="N11" s="3">
        <v>28</v>
      </c>
      <c r="O11" s="3">
        <v>600</v>
      </c>
      <c r="P11" s="3">
        <v>1036</v>
      </c>
      <c r="Q11" s="3">
        <v>1300</v>
      </c>
    </row>
    <row r="12" spans="2:17" x14ac:dyDescent="0.2">
      <c r="B12" t="s">
        <v>800</v>
      </c>
      <c r="C12">
        <v>0.75</v>
      </c>
      <c r="D12" t="s">
        <v>818</v>
      </c>
      <c r="E12" t="s">
        <v>674</v>
      </c>
      <c r="F12" s="292">
        <v>16</v>
      </c>
      <c r="G12" s="506">
        <v>18.600000000000001</v>
      </c>
      <c r="H12" s="292">
        <v>22</v>
      </c>
      <c r="I12" s="3">
        <v>10</v>
      </c>
      <c r="J12" s="3">
        <v>11.7</v>
      </c>
      <c r="K12" s="3">
        <v>15</v>
      </c>
      <c r="L12" s="3">
        <v>25</v>
      </c>
      <c r="M12" s="3">
        <v>26.2</v>
      </c>
      <c r="N12" s="3">
        <v>27.8</v>
      </c>
      <c r="O12" s="3">
        <v>1100</v>
      </c>
      <c r="P12" s="3">
        <v>1342</v>
      </c>
      <c r="Q12" s="3">
        <v>1580</v>
      </c>
    </row>
    <row r="13" spans="2:17" x14ac:dyDescent="0.2">
      <c r="B13" t="s">
        <v>799</v>
      </c>
      <c r="C13">
        <v>0.7</v>
      </c>
      <c r="D13" t="s">
        <v>818</v>
      </c>
      <c r="E13" t="s">
        <v>674</v>
      </c>
      <c r="F13" s="292">
        <v>16</v>
      </c>
      <c r="G13" s="506">
        <v>18.7</v>
      </c>
      <c r="H13" s="292">
        <v>22</v>
      </c>
      <c r="I13" s="3">
        <v>5</v>
      </c>
      <c r="J13" s="3">
        <v>10.4</v>
      </c>
      <c r="K13" s="3">
        <v>13</v>
      </c>
      <c r="L13" s="3">
        <v>25</v>
      </c>
      <c r="M13" s="3">
        <v>25.9</v>
      </c>
      <c r="N13" s="3">
        <v>27</v>
      </c>
      <c r="O13" s="3">
        <v>900</v>
      </c>
      <c r="P13" s="3">
        <v>1111</v>
      </c>
      <c r="Q13" s="3">
        <v>1300</v>
      </c>
    </row>
    <row r="14" spans="2:17" x14ac:dyDescent="0.2">
      <c r="B14" t="s">
        <v>798</v>
      </c>
      <c r="C14">
        <v>0.65</v>
      </c>
      <c r="D14" t="s">
        <v>818</v>
      </c>
      <c r="E14" t="s">
        <v>674</v>
      </c>
      <c r="F14" s="292">
        <v>15</v>
      </c>
      <c r="G14" s="506">
        <v>18.100000000000001</v>
      </c>
      <c r="H14" s="292">
        <v>25</v>
      </c>
      <c r="I14" s="3">
        <v>10</v>
      </c>
      <c r="J14" s="3">
        <v>11.7</v>
      </c>
      <c r="K14" s="3">
        <v>15.5</v>
      </c>
      <c r="L14" s="3">
        <v>25</v>
      </c>
      <c r="M14" s="3">
        <v>25.8</v>
      </c>
      <c r="N14" s="3">
        <v>27</v>
      </c>
      <c r="O14" s="3">
        <v>800</v>
      </c>
      <c r="P14" s="3">
        <v>986</v>
      </c>
      <c r="Q14" s="3">
        <v>1100</v>
      </c>
    </row>
    <row r="15" spans="2:17" x14ac:dyDescent="0.2">
      <c r="B15" t="s">
        <v>797</v>
      </c>
      <c r="C15">
        <v>0.6</v>
      </c>
      <c r="D15" t="s">
        <v>818</v>
      </c>
      <c r="E15" t="s">
        <v>674</v>
      </c>
      <c r="F15" s="292">
        <v>16</v>
      </c>
      <c r="G15" s="506">
        <v>18.8</v>
      </c>
      <c r="H15" s="292">
        <v>23</v>
      </c>
      <c r="I15" s="3">
        <v>5</v>
      </c>
      <c r="J15" s="3">
        <v>5.5</v>
      </c>
      <c r="K15" s="3">
        <v>10</v>
      </c>
      <c r="L15" s="3">
        <v>22.5</v>
      </c>
      <c r="M15" s="3">
        <v>24.6</v>
      </c>
      <c r="N15" s="3">
        <v>27</v>
      </c>
      <c r="O15" s="3">
        <v>600</v>
      </c>
      <c r="P15" s="3">
        <v>1054</v>
      </c>
      <c r="Q15" s="3">
        <v>1300</v>
      </c>
    </row>
    <row r="16" spans="2:17" x14ac:dyDescent="0.2">
      <c r="B16" t="s">
        <v>796</v>
      </c>
      <c r="C16">
        <v>0.5</v>
      </c>
      <c r="D16" t="s">
        <v>818</v>
      </c>
      <c r="E16" t="s">
        <v>674</v>
      </c>
      <c r="F16" s="292">
        <v>16</v>
      </c>
      <c r="G16" s="506">
        <v>18.399999999999999</v>
      </c>
      <c r="H16" s="292">
        <v>22</v>
      </c>
      <c r="I16" s="3">
        <v>10</v>
      </c>
      <c r="J16" s="3">
        <v>11.7</v>
      </c>
      <c r="K16" s="3">
        <v>15</v>
      </c>
      <c r="L16" s="3">
        <v>25</v>
      </c>
      <c r="M16" s="3">
        <v>25.9</v>
      </c>
      <c r="N16" s="3">
        <v>27</v>
      </c>
      <c r="O16" s="3">
        <v>800</v>
      </c>
      <c r="P16" s="3">
        <v>1111</v>
      </c>
      <c r="Q16" s="3">
        <v>1300</v>
      </c>
    </row>
    <row r="17" spans="2:17" x14ac:dyDescent="0.2">
      <c r="B17" t="s">
        <v>795</v>
      </c>
      <c r="C17">
        <v>0.4</v>
      </c>
      <c r="D17" t="s">
        <v>818</v>
      </c>
      <c r="E17" t="s">
        <v>674</v>
      </c>
      <c r="F17" s="292">
        <v>16</v>
      </c>
      <c r="G17" s="506">
        <v>18.5</v>
      </c>
      <c r="H17" s="292">
        <v>22</v>
      </c>
      <c r="I17" s="3">
        <v>5</v>
      </c>
      <c r="J17" s="3">
        <v>9</v>
      </c>
      <c r="K17" s="3">
        <v>15</v>
      </c>
      <c r="L17" s="3">
        <v>25</v>
      </c>
      <c r="M17" s="3">
        <v>26.2</v>
      </c>
      <c r="N17" s="3">
        <v>28</v>
      </c>
      <c r="O17" s="3">
        <v>1100</v>
      </c>
      <c r="P17" s="3">
        <v>1198</v>
      </c>
      <c r="Q17" s="3">
        <v>1300</v>
      </c>
    </row>
    <row r="18" spans="2:17" x14ac:dyDescent="0.2">
      <c r="B18" t="s">
        <v>794</v>
      </c>
      <c r="C18">
        <v>0.3</v>
      </c>
      <c r="D18" t="s">
        <v>818</v>
      </c>
      <c r="E18" t="s">
        <v>674</v>
      </c>
      <c r="F18" s="292"/>
      <c r="G18" s="506"/>
      <c r="H18" s="292"/>
    </row>
    <row r="19" spans="2:17" x14ac:dyDescent="0.2">
      <c r="B19" t="s">
        <v>793</v>
      </c>
      <c r="C19">
        <v>0.2</v>
      </c>
      <c r="D19" t="s">
        <v>818</v>
      </c>
      <c r="E19" t="s">
        <v>674</v>
      </c>
      <c r="F19" s="292">
        <v>10</v>
      </c>
      <c r="G19" s="506">
        <v>17.5</v>
      </c>
      <c r="H19" s="292">
        <v>25</v>
      </c>
      <c r="L19" s="3">
        <v>22.5</v>
      </c>
      <c r="M19" s="3">
        <v>25.3</v>
      </c>
      <c r="N19" s="3">
        <v>28</v>
      </c>
      <c r="O19" s="3">
        <v>600</v>
      </c>
      <c r="P19" s="3">
        <v>975</v>
      </c>
      <c r="Q19" s="3">
        <v>1300</v>
      </c>
    </row>
    <row r="20" spans="2:17" x14ac:dyDescent="0.2">
      <c r="F20" s="33">
        <f>AVERAGE(F6:F19)</f>
        <v>15.384615384615385</v>
      </c>
      <c r="G20" s="298">
        <f t="shared" ref="G20:Q20" si="0">AVERAGE(G6:G19)</f>
        <v>18.53846153846154</v>
      </c>
      <c r="H20" s="33">
        <f t="shared" si="0"/>
        <v>23.076923076923077</v>
      </c>
      <c r="I20" s="33">
        <f t="shared" si="0"/>
        <v>7.2</v>
      </c>
      <c r="J20" s="33">
        <f t="shared" si="0"/>
        <v>9.8416666666666686</v>
      </c>
      <c r="K20" s="33">
        <f t="shared" si="0"/>
        <v>13.708333333333334</v>
      </c>
      <c r="L20" s="33">
        <f t="shared" si="0"/>
        <v>24.423076923076923</v>
      </c>
      <c r="M20" s="33">
        <f t="shared" si="0"/>
        <v>25.853846153846153</v>
      </c>
      <c r="N20" s="33">
        <f t="shared" si="0"/>
        <v>27.507692307692309</v>
      </c>
      <c r="O20" s="33">
        <f t="shared" si="0"/>
        <v>869.23076923076928</v>
      </c>
      <c r="P20" s="33">
        <f t="shared" si="0"/>
        <v>1119.6923076923076</v>
      </c>
      <c r="Q20" s="33">
        <f t="shared" si="0"/>
        <v>1306.1538461538462</v>
      </c>
    </row>
    <row r="22" spans="2:17" x14ac:dyDescent="0.2">
      <c r="B22" t="s">
        <v>807</v>
      </c>
      <c r="F22" s="645" t="s">
        <v>810</v>
      </c>
      <c r="G22" s="645"/>
      <c r="H22" s="645"/>
      <c r="I22" s="645" t="s">
        <v>814</v>
      </c>
      <c r="J22" s="645"/>
      <c r="K22" s="645"/>
      <c r="L22" s="645" t="s">
        <v>815</v>
      </c>
      <c r="M22" s="645"/>
      <c r="N22" s="645"/>
      <c r="O22" s="645" t="s">
        <v>816</v>
      </c>
      <c r="P22" s="645"/>
      <c r="Q22" s="645"/>
    </row>
    <row r="23" spans="2:17" x14ac:dyDescent="0.2">
      <c r="B23" t="s">
        <v>367</v>
      </c>
      <c r="C23" t="s">
        <v>809</v>
      </c>
      <c r="F23" s="3" t="s">
        <v>811</v>
      </c>
      <c r="G23" s="3" t="s">
        <v>812</v>
      </c>
      <c r="H23" s="3" t="s">
        <v>813</v>
      </c>
      <c r="I23" s="3" t="s">
        <v>811</v>
      </c>
      <c r="J23" s="3" t="s">
        <v>812</v>
      </c>
      <c r="K23" s="3" t="s">
        <v>813</v>
      </c>
      <c r="L23" s="3" t="s">
        <v>811</v>
      </c>
      <c r="M23" s="3" t="s">
        <v>812</v>
      </c>
      <c r="N23" s="3" t="s">
        <v>813</v>
      </c>
      <c r="O23" s="3" t="s">
        <v>811</v>
      </c>
      <c r="P23" s="3" t="s">
        <v>812</v>
      </c>
      <c r="Q23" s="3" t="s">
        <v>813</v>
      </c>
    </row>
    <row r="24" spans="2:17" x14ac:dyDescent="0.2">
      <c r="B24" t="s">
        <v>792</v>
      </c>
      <c r="C24" s="34">
        <v>35</v>
      </c>
      <c r="D24" s="34" t="s">
        <v>820</v>
      </c>
      <c r="E24" s="34"/>
      <c r="F24" s="3">
        <v>16</v>
      </c>
      <c r="G24" s="3">
        <v>21.3</v>
      </c>
      <c r="H24" s="3">
        <v>25</v>
      </c>
      <c r="I24" s="3">
        <v>5</v>
      </c>
      <c r="J24" s="3">
        <v>10.4</v>
      </c>
      <c r="K24" s="3">
        <v>13</v>
      </c>
      <c r="L24" s="3">
        <v>25</v>
      </c>
      <c r="M24" s="3">
        <v>27.7</v>
      </c>
      <c r="N24" s="3">
        <v>30</v>
      </c>
      <c r="O24" s="3">
        <v>1100</v>
      </c>
      <c r="P24" s="3">
        <v>1264</v>
      </c>
      <c r="Q24" s="3">
        <v>1400</v>
      </c>
    </row>
    <row r="25" spans="2:17" x14ac:dyDescent="0.2">
      <c r="B25" t="s">
        <v>791</v>
      </c>
      <c r="C25" s="34">
        <v>32.700000000000003</v>
      </c>
      <c r="D25" s="34" t="s">
        <v>820</v>
      </c>
      <c r="E25" s="34"/>
      <c r="F25" s="3">
        <v>18</v>
      </c>
      <c r="G25" s="3">
        <v>21.3</v>
      </c>
      <c r="H25" s="3">
        <v>22</v>
      </c>
      <c r="I25" s="3">
        <v>13</v>
      </c>
      <c r="J25" s="3">
        <v>13.6</v>
      </c>
      <c r="K25" s="3">
        <v>15</v>
      </c>
      <c r="L25" s="3">
        <v>25</v>
      </c>
      <c r="M25" s="3">
        <v>27.6</v>
      </c>
      <c r="N25" s="3">
        <v>28</v>
      </c>
      <c r="O25" s="3">
        <v>1000</v>
      </c>
      <c r="P25" s="3">
        <v>1157</v>
      </c>
      <c r="Q25" s="3">
        <v>1300</v>
      </c>
    </row>
    <row r="26" spans="2:17" x14ac:dyDescent="0.2">
      <c r="B26" t="s">
        <v>790</v>
      </c>
      <c r="C26" s="34">
        <v>31.75</v>
      </c>
      <c r="D26" s="34" t="s">
        <v>820</v>
      </c>
      <c r="E26" s="34" t="s">
        <v>821</v>
      </c>
      <c r="F26" s="3">
        <v>16</v>
      </c>
      <c r="G26" s="3">
        <v>18.5</v>
      </c>
      <c r="H26" s="3">
        <v>22</v>
      </c>
      <c r="I26" s="3">
        <v>10</v>
      </c>
      <c r="J26" s="3">
        <v>11.8</v>
      </c>
      <c r="K26" s="3">
        <v>15</v>
      </c>
      <c r="L26" s="3">
        <v>25</v>
      </c>
      <c r="M26" s="3">
        <v>26.5</v>
      </c>
      <c r="N26" s="3">
        <v>28</v>
      </c>
      <c r="O26" s="3">
        <v>1100</v>
      </c>
      <c r="P26" s="3">
        <v>1336</v>
      </c>
      <c r="Q26" s="3">
        <v>1580</v>
      </c>
    </row>
    <row r="27" spans="2:17" x14ac:dyDescent="0.2">
      <c r="B27" t="s">
        <v>789</v>
      </c>
      <c r="C27" s="34">
        <v>30.8</v>
      </c>
      <c r="D27" s="34" t="s">
        <v>820</v>
      </c>
      <c r="E27" s="34" t="s">
        <v>821</v>
      </c>
      <c r="F27" s="3">
        <v>16</v>
      </c>
      <c r="G27" s="3">
        <v>21.3</v>
      </c>
      <c r="H27" s="3">
        <v>23</v>
      </c>
      <c r="I27" s="3">
        <v>10</v>
      </c>
      <c r="J27" s="3">
        <v>10.4</v>
      </c>
      <c r="K27" s="3">
        <v>13</v>
      </c>
      <c r="L27" s="3">
        <v>25</v>
      </c>
      <c r="M27" s="3">
        <v>27.6</v>
      </c>
      <c r="N27" s="3">
        <v>28</v>
      </c>
      <c r="O27" s="3">
        <v>1100</v>
      </c>
      <c r="P27" s="3">
        <v>1260</v>
      </c>
      <c r="Q27" s="3">
        <v>1400</v>
      </c>
    </row>
    <row r="28" spans="2:17" x14ac:dyDescent="0.2">
      <c r="B28" t="s">
        <v>788</v>
      </c>
      <c r="C28" s="34">
        <v>29.5</v>
      </c>
      <c r="D28" s="34" t="s">
        <v>820</v>
      </c>
      <c r="E28" s="34"/>
      <c r="F28" s="3">
        <v>16</v>
      </c>
      <c r="G28" s="3">
        <v>18.5</v>
      </c>
      <c r="H28" s="3">
        <v>22</v>
      </c>
      <c r="I28" s="3">
        <v>10</v>
      </c>
      <c r="J28" s="3">
        <v>10.4</v>
      </c>
      <c r="K28" s="3">
        <v>15.5</v>
      </c>
      <c r="L28" s="3">
        <v>25</v>
      </c>
      <c r="M28" s="3">
        <v>26.4</v>
      </c>
      <c r="N28" s="3">
        <v>28</v>
      </c>
      <c r="O28" s="3">
        <v>1100</v>
      </c>
      <c r="P28" s="3">
        <v>1268</v>
      </c>
      <c r="Q28" s="3">
        <v>1400</v>
      </c>
    </row>
    <row r="29" spans="2:17" x14ac:dyDescent="0.2">
      <c r="B29" t="s">
        <v>787</v>
      </c>
      <c r="C29" s="34">
        <v>23.6</v>
      </c>
      <c r="D29" s="34" t="s">
        <v>820</v>
      </c>
      <c r="E29" s="34"/>
      <c r="F29" s="3">
        <v>16</v>
      </c>
      <c r="G29" s="3">
        <v>21.3</v>
      </c>
      <c r="H29" s="3">
        <v>22</v>
      </c>
      <c r="I29" s="3">
        <v>10</v>
      </c>
      <c r="J29" s="3">
        <v>10.4</v>
      </c>
      <c r="K29" s="3">
        <v>13</v>
      </c>
      <c r="L29" s="3">
        <v>25</v>
      </c>
      <c r="M29" s="3">
        <v>27.7</v>
      </c>
      <c r="N29" s="3">
        <v>28.5</v>
      </c>
      <c r="O29" s="3">
        <v>1100</v>
      </c>
      <c r="P29" s="3">
        <v>1214</v>
      </c>
      <c r="Q29" s="3">
        <v>1300</v>
      </c>
    </row>
    <row r="30" spans="2:17" x14ac:dyDescent="0.2">
      <c r="B30" t="s">
        <v>786</v>
      </c>
      <c r="C30" s="34">
        <v>18.45</v>
      </c>
      <c r="D30" s="34" t="s">
        <v>820</v>
      </c>
      <c r="E30" s="34"/>
      <c r="F30" s="3">
        <v>18</v>
      </c>
      <c r="G30" s="3">
        <v>21.3</v>
      </c>
      <c r="H30" s="3">
        <v>22</v>
      </c>
      <c r="I30" s="3">
        <v>10</v>
      </c>
      <c r="J30" s="3">
        <v>10.4</v>
      </c>
      <c r="K30" s="3">
        <v>13</v>
      </c>
      <c r="L30" s="3">
        <v>25</v>
      </c>
      <c r="M30" s="3">
        <v>27.7</v>
      </c>
      <c r="N30" s="3">
        <v>30</v>
      </c>
      <c r="O30" s="3">
        <v>1100</v>
      </c>
      <c r="P30" s="3">
        <v>1263</v>
      </c>
      <c r="Q30" s="3">
        <v>1400</v>
      </c>
    </row>
    <row r="31" spans="2:17" x14ac:dyDescent="0.2">
      <c r="B31" t="s">
        <v>785</v>
      </c>
      <c r="C31" s="34">
        <v>8.3000000000000007</v>
      </c>
      <c r="D31" s="34" t="s">
        <v>820</v>
      </c>
      <c r="E31" s="34"/>
      <c r="F31" s="3">
        <v>18</v>
      </c>
      <c r="G31" s="3">
        <v>21.3</v>
      </c>
      <c r="H31" s="3">
        <v>22</v>
      </c>
      <c r="I31" s="3">
        <v>10</v>
      </c>
      <c r="J31" s="3">
        <v>10.4</v>
      </c>
      <c r="K31" s="3">
        <v>12</v>
      </c>
      <c r="L31" s="3">
        <v>25</v>
      </c>
      <c r="M31" s="3">
        <v>27.6</v>
      </c>
      <c r="N31" s="3">
        <v>28</v>
      </c>
      <c r="O31" s="3">
        <v>1100</v>
      </c>
      <c r="P31" s="3">
        <v>1210</v>
      </c>
      <c r="Q31" s="3">
        <v>1300</v>
      </c>
    </row>
    <row r="32" spans="2:17" x14ac:dyDescent="0.2">
      <c r="B32" t="s">
        <v>784</v>
      </c>
      <c r="C32" s="34">
        <v>7.6</v>
      </c>
      <c r="D32" s="34" t="s">
        <v>820</v>
      </c>
      <c r="E32" s="34"/>
      <c r="F32" s="3">
        <v>16</v>
      </c>
      <c r="G32" s="3">
        <v>17.8</v>
      </c>
      <c r="H32" s="3">
        <v>20</v>
      </c>
      <c r="I32" s="3">
        <v>10</v>
      </c>
      <c r="J32" s="3">
        <v>10.4</v>
      </c>
      <c r="K32" s="3">
        <v>15</v>
      </c>
      <c r="L32" s="3">
        <v>25</v>
      </c>
      <c r="M32" s="3">
        <v>26.5</v>
      </c>
      <c r="N32" s="3">
        <v>28</v>
      </c>
      <c r="O32" s="3">
        <v>1100</v>
      </c>
      <c r="P32" s="3">
        <v>1251</v>
      </c>
      <c r="Q32" s="3">
        <v>1400</v>
      </c>
    </row>
    <row r="33" spans="2:17" x14ac:dyDescent="0.2">
      <c r="B33" t="s">
        <v>783</v>
      </c>
      <c r="C33" s="34">
        <v>7</v>
      </c>
      <c r="D33" s="34" t="s">
        <v>820</v>
      </c>
      <c r="E33" s="34"/>
      <c r="F33" s="3">
        <v>18</v>
      </c>
      <c r="G33" s="3">
        <v>19.5</v>
      </c>
      <c r="H33" s="3">
        <v>22</v>
      </c>
      <c r="I33" s="3">
        <v>10</v>
      </c>
      <c r="J33" s="3">
        <v>12.4</v>
      </c>
      <c r="K33" s="3">
        <v>15</v>
      </c>
      <c r="L33" s="3">
        <v>25</v>
      </c>
      <c r="M33" s="3">
        <v>25.9</v>
      </c>
      <c r="N33" s="3">
        <v>27</v>
      </c>
      <c r="O33" s="3">
        <v>1100</v>
      </c>
      <c r="P33" s="3">
        <v>1268</v>
      </c>
      <c r="Q33" s="3">
        <v>1400</v>
      </c>
    </row>
    <row r="34" spans="2:17" x14ac:dyDescent="0.2">
      <c r="B34" t="s">
        <v>782</v>
      </c>
      <c r="C34" s="34">
        <v>6.5</v>
      </c>
      <c r="D34" s="34" t="s">
        <v>820</v>
      </c>
      <c r="E34" s="34"/>
      <c r="F34" s="3">
        <v>16</v>
      </c>
      <c r="G34" s="3">
        <v>21.3</v>
      </c>
      <c r="H34" s="3">
        <v>22</v>
      </c>
      <c r="I34" s="3">
        <v>13</v>
      </c>
      <c r="J34" s="3">
        <v>13.6</v>
      </c>
      <c r="K34" s="3">
        <v>15</v>
      </c>
      <c r="L34" s="3">
        <v>25</v>
      </c>
      <c r="M34" s="3">
        <v>27.7</v>
      </c>
      <c r="N34" s="3">
        <v>30</v>
      </c>
      <c r="O34" s="3">
        <v>1100</v>
      </c>
      <c r="P34" s="3">
        <v>1269</v>
      </c>
      <c r="Q34" s="3">
        <v>1400</v>
      </c>
    </row>
    <row r="35" spans="2:17" x14ac:dyDescent="0.2">
      <c r="B35" t="s">
        <v>781</v>
      </c>
      <c r="C35" s="34">
        <v>6.1</v>
      </c>
      <c r="D35" s="34" t="s">
        <v>820</v>
      </c>
      <c r="E35" s="34"/>
      <c r="F35" s="3">
        <v>16</v>
      </c>
      <c r="G35" s="3">
        <v>18.7</v>
      </c>
      <c r="H35" s="3">
        <v>22</v>
      </c>
      <c r="I35" s="3">
        <v>10</v>
      </c>
      <c r="J35" s="3">
        <v>11</v>
      </c>
      <c r="K35" s="3">
        <v>12</v>
      </c>
      <c r="L35" s="3">
        <v>25</v>
      </c>
      <c r="M35" s="3">
        <v>26</v>
      </c>
      <c r="N35" s="3">
        <v>27</v>
      </c>
      <c r="O35" s="3">
        <v>1100</v>
      </c>
      <c r="P35" s="3">
        <v>1368</v>
      </c>
      <c r="Q35" s="3">
        <v>1580</v>
      </c>
    </row>
    <row r="36" spans="2:17" x14ac:dyDescent="0.2">
      <c r="B36" t="s">
        <v>780</v>
      </c>
      <c r="C36" s="34">
        <v>5.5</v>
      </c>
      <c r="D36" s="34" t="s">
        <v>820</v>
      </c>
      <c r="E36" s="34"/>
      <c r="F36" s="3">
        <v>16</v>
      </c>
      <c r="G36" s="3">
        <v>18.899999999999999</v>
      </c>
      <c r="H36" s="3">
        <v>23</v>
      </c>
      <c r="I36" s="3">
        <v>10</v>
      </c>
      <c r="J36" s="3">
        <v>11.2</v>
      </c>
      <c r="K36" s="3">
        <v>13</v>
      </c>
      <c r="L36" s="3">
        <v>25</v>
      </c>
      <c r="M36" s="3">
        <v>26.4</v>
      </c>
      <c r="N36" s="3">
        <v>28</v>
      </c>
      <c r="O36" s="3">
        <v>1100</v>
      </c>
      <c r="P36" s="3">
        <v>1363</v>
      </c>
      <c r="Q36" s="3">
        <v>1580</v>
      </c>
    </row>
    <row r="37" spans="2:17" x14ac:dyDescent="0.2">
      <c r="B37" t="s">
        <v>779</v>
      </c>
      <c r="C37" s="34">
        <v>5</v>
      </c>
      <c r="D37" s="34" t="s">
        <v>820</v>
      </c>
      <c r="E37" s="34"/>
      <c r="F37" s="3">
        <v>16</v>
      </c>
      <c r="G37" s="3">
        <v>21.3</v>
      </c>
      <c r="H37" s="3">
        <v>22</v>
      </c>
      <c r="I37" s="3">
        <v>13</v>
      </c>
      <c r="J37" s="3">
        <v>13.8</v>
      </c>
      <c r="K37" s="3">
        <v>15</v>
      </c>
      <c r="L37" s="3">
        <v>25</v>
      </c>
      <c r="M37" s="3">
        <v>27.7</v>
      </c>
      <c r="N37" s="3">
        <v>30</v>
      </c>
      <c r="O37" s="3">
        <v>900</v>
      </c>
      <c r="P37" s="3">
        <v>1154</v>
      </c>
      <c r="Q37" s="3">
        <v>1400</v>
      </c>
    </row>
    <row r="38" spans="2:17" x14ac:dyDescent="0.2">
      <c r="B38" t="s">
        <v>778</v>
      </c>
      <c r="C38" s="34">
        <v>4.55</v>
      </c>
      <c r="D38" s="34" t="s">
        <v>820</v>
      </c>
      <c r="E38" s="34"/>
      <c r="F38" s="3">
        <v>16</v>
      </c>
      <c r="G38" s="3">
        <v>18.3</v>
      </c>
      <c r="H38" s="3">
        <v>22</v>
      </c>
      <c r="I38" s="3">
        <v>10</v>
      </c>
      <c r="J38" s="3">
        <v>10.4</v>
      </c>
      <c r="K38" s="3">
        <v>15</v>
      </c>
      <c r="L38" s="3">
        <v>25</v>
      </c>
      <c r="M38" s="3">
        <v>26.3</v>
      </c>
      <c r="N38" s="3">
        <v>28</v>
      </c>
      <c r="O38" s="3">
        <v>1100</v>
      </c>
      <c r="P38" s="3">
        <v>1265</v>
      </c>
      <c r="Q38" s="3">
        <v>1400</v>
      </c>
    </row>
    <row r="39" spans="2:17" x14ac:dyDescent="0.2">
      <c r="B39" t="s">
        <v>777</v>
      </c>
      <c r="C39" s="34">
        <v>4.1500000000000004</v>
      </c>
      <c r="D39" s="34" t="s">
        <v>820</v>
      </c>
      <c r="E39" s="34"/>
      <c r="F39" s="3">
        <v>16</v>
      </c>
      <c r="G39" s="3">
        <v>18.3</v>
      </c>
      <c r="H39" s="3">
        <v>22</v>
      </c>
      <c r="I39" s="3">
        <v>10</v>
      </c>
      <c r="J39" s="3">
        <v>10.4</v>
      </c>
      <c r="K39" s="3">
        <v>12</v>
      </c>
      <c r="L39" s="3">
        <v>25</v>
      </c>
      <c r="M39" s="3">
        <v>26</v>
      </c>
      <c r="N39" s="3">
        <v>27</v>
      </c>
      <c r="O39" s="3">
        <v>1100</v>
      </c>
      <c r="P39" s="3">
        <v>1211</v>
      </c>
      <c r="Q39" s="3">
        <v>1300</v>
      </c>
    </row>
    <row r="40" spans="2:17" x14ac:dyDescent="0.2">
      <c r="B40" t="s">
        <v>776</v>
      </c>
      <c r="C40" s="34">
        <v>3.85</v>
      </c>
      <c r="D40" s="34" t="s">
        <v>820</v>
      </c>
      <c r="E40" s="507" t="s">
        <v>43</v>
      </c>
      <c r="F40" s="508">
        <v>16</v>
      </c>
      <c r="G40" s="509">
        <v>18.3</v>
      </c>
      <c r="H40" s="508">
        <v>22</v>
      </c>
      <c r="I40" s="3">
        <v>5</v>
      </c>
      <c r="J40" s="3">
        <v>10.4</v>
      </c>
      <c r="K40" s="3">
        <v>15</v>
      </c>
      <c r="L40" s="3">
        <v>25</v>
      </c>
      <c r="M40" s="3">
        <v>26.2</v>
      </c>
      <c r="N40" s="3">
        <v>28</v>
      </c>
      <c r="O40" s="3">
        <v>1100</v>
      </c>
      <c r="P40" s="3">
        <v>1259</v>
      </c>
      <c r="Q40" s="3">
        <v>1400</v>
      </c>
    </row>
    <row r="41" spans="2:17" x14ac:dyDescent="0.2">
      <c r="B41" t="s">
        <v>775</v>
      </c>
      <c r="C41" s="34">
        <v>3.2</v>
      </c>
      <c r="D41" s="34" t="s">
        <v>820</v>
      </c>
      <c r="E41" s="507" t="s">
        <v>43</v>
      </c>
      <c r="F41" s="508">
        <v>16</v>
      </c>
      <c r="G41" s="509">
        <v>18.2</v>
      </c>
      <c r="H41" s="508">
        <v>22</v>
      </c>
      <c r="I41" s="3">
        <v>5</v>
      </c>
      <c r="J41" s="3">
        <v>7.5</v>
      </c>
      <c r="K41" s="3">
        <v>11</v>
      </c>
      <c r="L41" s="3">
        <v>25</v>
      </c>
      <c r="M41" s="3">
        <v>26.1</v>
      </c>
      <c r="N41" s="3">
        <v>27.8</v>
      </c>
      <c r="O41" s="3">
        <v>1100</v>
      </c>
      <c r="P41" s="3">
        <v>1256</v>
      </c>
      <c r="Q41" s="3">
        <v>1400</v>
      </c>
    </row>
    <row r="42" spans="2:17" x14ac:dyDescent="0.2">
      <c r="B42" t="s">
        <v>774</v>
      </c>
      <c r="C42" s="34">
        <v>2.75</v>
      </c>
      <c r="D42" s="34" t="s">
        <v>820</v>
      </c>
      <c r="E42" s="507" t="s">
        <v>43</v>
      </c>
      <c r="F42" s="508">
        <v>16</v>
      </c>
      <c r="G42" s="509">
        <v>21.3</v>
      </c>
      <c r="H42" s="508">
        <v>23</v>
      </c>
      <c r="I42" s="3">
        <v>13</v>
      </c>
      <c r="J42" s="3">
        <v>13.8</v>
      </c>
      <c r="K42" s="3">
        <v>15.5</v>
      </c>
      <c r="L42" s="3">
        <v>25</v>
      </c>
      <c r="M42" s="3">
        <v>27.6</v>
      </c>
      <c r="N42" s="3">
        <v>28</v>
      </c>
      <c r="O42" s="3">
        <v>1100</v>
      </c>
      <c r="P42" s="3">
        <v>1271</v>
      </c>
      <c r="Q42" s="3">
        <v>1400</v>
      </c>
    </row>
    <row r="43" spans="2:17" x14ac:dyDescent="0.2">
      <c r="B43" t="s">
        <v>773</v>
      </c>
      <c r="C43" s="34">
        <v>2.4500000000000002</v>
      </c>
      <c r="D43" s="34" t="s">
        <v>820</v>
      </c>
      <c r="E43" s="507" t="s">
        <v>43</v>
      </c>
      <c r="F43" s="508">
        <v>16</v>
      </c>
      <c r="G43" s="509">
        <v>18</v>
      </c>
      <c r="H43" s="508">
        <v>22</v>
      </c>
      <c r="I43" s="3">
        <v>5</v>
      </c>
      <c r="J43" s="3">
        <v>7.5</v>
      </c>
      <c r="K43" s="3">
        <v>11</v>
      </c>
      <c r="L43" s="3">
        <v>25</v>
      </c>
      <c r="M43" s="3">
        <v>26</v>
      </c>
      <c r="N43" s="3">
        <v>28</v>
      </c>
      <c r="O43" s="3">
        <v>1100</v>
      </c>
      <c r="P43" s="3">
        <v>1252</v>
      </c>
      <c r="Q43" s="3">
        <v>1400</v>
      </c>
    </row>
    <row r="44" spans="2:17" x14ac:dyDescent="0.2">
      <c r="B44" t="s">
        <v>772</v>
      </c>
      <c r="C44" s="34">
        <v>2.0499999999999998</v>
      </c>
      <c r="D44" s="34" t="s">
        <v>820</v>
      </c>
      <c r="E44" s="507" t="s">
        <v>43</v>
      </c>
      <c r="F44" s="508">
        <v>16</v>
      </c>
      <c r="G44" s="509">
        <v>18.600000000000001</v>
      </c>
      <c r="H44" s="508">
        <v>22</v>
      </c>
      <c r="I44" s="3">
        <v>10</v>
      </c>
      <c r="J44" s="3">
        <v>10.5</v>
      </c>
      <c r="K44" s="3">
        <v>15.5</v>
      </c>
      <c r="L44" s="3">
        <v>25</v>
      </c>
      <c r="M44" s="3">
        <v>26.5</v>
      </c>
      <c r="N44" s="3">
        <v>28</v>
      </c>
      <c r="O44" s="3">
        <v>1100</v>
      </c>
      <c r="P44" s="3">
        <v>1262</v>
      </c>
      <c r="Q44" s="3">
        <v>1400</v>
      </c>
    </row>
    <row r="45" spans="2:17" x14ac:dyDescent="0.2">
      <c r="B45" t="s">
        <v>771</v>
      </c>
      <c r="C45" s="34">
        <v>1.95</v>
      </c>
      <c r="D45" s="34" t="s">
        <v>820</v>
      </c>
      <c r="E45" s="507" t="s">
        <v>43</v>
      </c>
      <c r="F45" s="508">
        <v>16</v>
      </c>
      <c r="G45" s="509">
        <v>18.2</v>
      </c>
      <c r="H45" s="508">
        <v>22</v>
      </c>
      <c r="I45" s="3">
        <v>5</v>
      </c>
      <c r="J45" s="3">
        <v>10.4</v>
      </c>
      <c r="K45" s="3">
        <v>15</v>
      </c>
      <c r="L45" s="3">
        <v>25</v>
      </c>
      <c r="M45" s="3">
        <v>26.2</v>
      </c>
      <c r="N45" s="3">
        <v>28</v>
      </c>
      <c r="O45" s="3">
        <v>1100</v>
      </c>
      <c r="P45" s="3">
        <v>1256</v>
      </c>
      <c r="Q45" s="3">
        <v>1400</v>
      </c>
    </row>
    <row r="46" spans="2:17" x14ac:dyDescent="0.2">
      <c r="B46" t="s">
        <v>770</v>
      </c>
      <c r="C46" s="34">
        <v>1.8</v>
      </c>
      <c r="D46" s="34" t="s">
        <v>820</v>
      </c>
      <c r="E46" s="507" t="s">
        <v>43</v>
      </c>
      <c r="F46" s="508">
        <v>16</v>
      </c>
      <c r="G46" s="509">
        <v>18.7</v>
      </c>
      <c r="H46" s="508">
        <v>22</v>
      </c>
      <c r="I46" s="3">
        <v>10</v>
      </c>
      <c r="J46" s="3">
        <v>10.5</v>
      </c>
      <c r="K46" s="3">
        <v>12</v>
      </c>
      <c r="L46" s="3">
        <v>25</v>
      </c>
      <c r="M46" s="3">
        <v>26.5</v>
      </c>
      <c r="N46" s="3">
        <v>28</v>
      </c>
      <c r="O46" s="3">
        <v>1100</v>
      </c>
      <c r="P46" s="3">
        <v>1273</v>
      </c>
      <c r="Q46" s="3">
        <v>1400</v>
      </c>
    </row>
    <row r="47" spans="2:17" x14ac:dyDescent="0.2">
      <c r="B47" t="s">
        <v>769</v>
      </c>
      <c r="C47" s="34">
        <v>1.05</v>
      </c>
      <c r="D47" s="34" t="s">
        <v>820</v>
      </c>
      <c r="E47" s="34"/>
      <c r="F47" s="3">
        <v>10</v>
      </c>
      <c r="G47" s="3">
        <v>15.8</v>
      </c>
      <c r="H47" s="3">
        <v>22</v>
      </c>
      <c r="I47" s="3">
        <v>0</v>
      </c>
      <c r="J47" s="3">
        <v>6.4</v>
      </c>
      <c r="K47" s="3">
        <v>15</v>
      </c>
      <c r="L47" s="3">
        <v>22.5</v>
      </c>
      <c r="M47" s="3">
        <v>24.8</v>
      </c>
      <c r="N47" s="3">
        <v>28</v>
      </c>
      <c r="O47" s="3">
        <v>1000</v>
      </c>
      <c r="P47" s="3">
        <v>1135</v>
      </c>
      <c r="Q47" s="3">
        <v>1300</v>
      </c>
    </row>
    <row r="48" spans="2:17" x14ac:dyDescent="0.2">
      <c r="F48" s="33">
        <f>AVERAGE(F40:F46)</f>
        <v>16</v>
      </c>
      <c r="G48" s="298">
        <f t="shared" ref="G48:Q48" si="1">AVERAGE(G40:G46)</f>
        <v>18.75714285714286</v>
      </c>
      <c r="H48" s="33">
        <f t="shared" si="1"/>
        <v>22.142857142857142</v>
      </c>
      <c r="I48" s="33">
        <f t="shared" si="1"/>
        <v>7.5714285714285712</v>
      </c>
      <c r="J48" s="33">
        <f t="shared" si="1"/>
        <v>10.085714285714285</v>
      </c>
      <c r="K48" s="33">
        <f t="shared" si="1"/>
        <v>13.571428571428571</v>
      </c>
      <c r="L48" s="33">
        <f t="shared" si="1"/>
        <v>25</v>
      </c>
      <c r="M48" s="33">
        <f t="shared" si="1"/>
        <v>26.442857142857143</v>
      </c>
      <c r="N48" s="33">
        <f t="shared" si="1"/>
        <v>27.971428571428572</v>
      </c>
      <c r="O48" s="33">
        <f t="shared" si="1"/>
        <v>1100</v>
      </c>
      <c r="P48" s="33">
        <f t="shared" si="1"/>
        <v>1261.2857142857142</v>
      </c>
      <c r="Q48" s="33">
        <f t="shared" si="1"/>
        <v>1400</v>
      </c>
    </row>
  </sheetData>
  <sortState xmlns:xlrd2="http://schemas.microsoft.com/office/spreadsheetml/2017/richdata2" ref="A6:AD19">
    <sortCondition descending="1" ref="C6:C19"/>
  </sortState>
  <mergeCells count="8">
    <mergeCell ref="L4:N4"/>
    <mergeCell ref="O4:Q4"/>
    <mergeCell ref="F22:H22"/>
    <mergeCell ref="I22:K22"/>
    <mergeCell ref="L22:N22"/>
    <mergeCell ref="O22:Q22"/>
    <mergeCell ref="F4:H4"/>
    <mergeCell ref="I4:K4"/>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25"/>
  <sheetViews>
    <sheetView topLeftCell="J1" workbookViewId="0">
      <selection activeCell="W2" sqref="W2:Y125"/>
    </sheetView>
  </sheetViews>
  <sheetFormatPr baseColWidth="10" defaultColWidth="11.5" defaultRowHeight="15" x14ac:dyDescent="0.2"/>
  <cols>
    <col min="1" max="1" width="5.33203125" style="128" bestFit="1" customWidth="1"/>
    <col min="2" max="2" width="4" style="128" bestFit="1" customWidth="1"/>
    <col min="3" max="5" width="4.5" style="128" bestFit="1" customWidth="1"/>
    <col min="6" max="6" width="6.6640625" style="128" bestFit="1" customWidth="1"/>
    <col min="7" max="7" width="4.1640625" style="128" bestFit="1" customWidth="1"/>
    <col min="8" max="8" width="7.1640625" style="128" bestFit="1" customWidth="1"/>
    <col min="9" max="9" width="7.1640625" style="633" bestFit="1" customWidth="1"/>
    <col min="10" max="10" width="10.33203125" style="128" bestFit="1" customWidth="1"/>
    <col min="11" max="11" width="9.83203125" style="128" bestFit="1" customWidth="1"/>
    <col min="12" max="12" width="10" style="128" bestFit="1" customWidth="1"/>
    <col min="13" max="13" width="10.5" style="128" bestFit="1" customWidth="1"/>
    <col min="14" max="14" width="10.1640625" style="128" bestFit="1" customWidth="1"/>
    <col min="15" max="15" width="10.5" style="128" bestFit="1" customWidth="1"/>
    <col min="16" max="16" width="10" style="128" bestFit="1" customWidth="1"/>
    <col min="17" max="17" width="10.33203125" style="128" bestFit="1" customWidth="1"/>
    <col min="18" max="18" width="9.5" style="128" bestFit="1" customWidth="1"/>
    <col min="19" max="19" width="10" style="128" bestFit="1" customWidth="1"/>
    <col min="20" max="20" width="9.6640625" style="128" bestFit="1" customWidth="1"/>
    <col min="21" max="21" width="10" style="128" bestFit="1" customWidth="1"/>
    <col min="22" max="22" width="9.5" style="128" bestFit="1" customWidth="1"/>
    <col min="23" max="23" width="9.83203125" style="128" bestFit="1" customWidth="1"/>
    <col min="24" max="25" width="9.1640625" style="128" bestFit="1" customWidth="1"/>
    <col min="26" max="26" width="9" style="128" bestFit="1" customWidth="1"/>
    <col min="27" max="16384" width="11.5" style="128"/>
  </cols>
  <sheetData>
    <row r="1" spans="1:26" x14ac:dyDescent="0.2">
      <c r="A1" s="634" t="s">
        <v>919</v>
      </c>
      <c r="B1" s="128" t="s">
        <v>920</v>
      </c>
      <c r="C1" s="128" t="s">
        <v>921</v>
      </c>
      <c r="D1" s="128" t="s">
        <v>901</v>
      </c>
      <c r="E1" s="128" t="s">
        <v>922</v>
      </c>
      <c r="F1" s="128" t="s">
        <v>923</v>
      </c>
      <c r="G1" s="128" t="s">
        <v>924</v>
      </c>
      <c r="H1" s="633" t="s">
        <v>925</v>
      </c>
      <c r="I1" s="128" t="s">
        <v>926</v>
      </c>
      <c r="J1" s="128" t="s">
        <v>927</v>
      </c>
      <c r="K1" s="128" t="s">
        <v>234</v>
      </c>
      <c r="L1" s="128" t="s">
        <v>928</v>
      </c>
      <c r="M1" s="128" t="s">
        <v>235</v>
      </c>
      <c r="N1" s="128" t="s">
        <v>929</v>
      </c>
      <c r="O1" s="128" t="s">
        <v>236</v>
      </c>
      <c r="P1" s="128" t="s">
        <v>930</v>
      </c>
      <c r="Q1" s="128" t="s">
        <v>237</v>
      </c>
      <c r="R1" s="128" t="s">
        <v>931</v>
      </c>
      <c r="S1" s="128" t="s">
        <v>238</v>
      </c>
      <c r="T1" s="128" t="s">
        <v>932</v>
      </c>
      <c r="U1" s="128" t="s">
        <v>239</v>
      </c>
      <c r="V1" s="128" t="s">
        <v>933</v>
      </c>
      <c r="W1" s="128" t="s">
        <v>240</v>
      </c>
      <c r="X1" s="128" t="s">
        <v>241</v>
      </c>
      <c r="Y1" s="128" t="s">
        <v>242</v>
      </c>
      <c r="Z1" s="128" t="s">
        <v>934</v>
      </c>
    </row>
    <row r="2" spans="1:26" x14ac:dyDescent="0.2">
      <c r="A2" s="634">
        <v>302</v>
      </c>
      <c r="B2" s="128" t="s">
        <v>935</v>
      </c>
      <c r="C2" s="128">
        <v>27</v>
      </c>
      <c r="D2" s="128" t="s">
        <v>216</v>
      </c>
      <c r="E2" s="128">
        <v>1</v>
      </c>
      <c r="F2" s="128" t="s">
        <v>233</v>
      </c>
      <c r="G2" s="128">
        <v>0</v>
      </c>
      <c r="H2" s="128">
        <v>1</v>
      </c>
      <c r="I2" s="633">
        <v>367.4</v>
      </c>
      <c r="J2" s="128">
        <v>367.4</v>
      </c>
      <c r="K2" s="128">
        <v>0.08</v>
      </c>
      <c r="L2" s="128">
        <v>0.04</v>
      </c>
      <c r="M2" s="128">
        <v>0</v>
      </c>
      <c r="N2" s="128">
        <v>0</v>
      </c>
      <c r="O2" s="128">
        <v>0</v>
      </c>
      <c r="P2" s="128">
        <v>0</v>
      </c>
      <c r="Q2" s="128">
        <v>0.14000000000000001</v>
      </c>
      <c r="R2" s="128">
        <v>0.03</v>
      </c>
      <c r="S2" s="128">
        <v>0.01</v>
      </c>
      <c r="T2" s="128">
        <v>0.01</v>
      </c>
      <c r="U2" s="128">
        <v>0</v>
      </c>
      <c r="V2" s="128">
        <v>0</v>
      </c>
      <c r="W2" s="128">
        <v>0.61</v>
      </c>
      <c r="X2" s="128">
        <v>0.06</v>
      </c>
      <c r="Y2" s="128">
        <v>0.02</v>
      </c>
      <c r="Z2" s="128">
        <v>14.91</v>
      </c>
    </row>
    <row r="3" spans="1:26" x14ac:dyDescent="0.2">
      <c r="A3" s="634">
        <v>302</v>
      </c>
      <c r="B3" s="128" t="s">
        <v>935</v>
      </c>
      <c r="C3" s="128">
        <v>27</v>
      </c>
      <c r="D3" s="128" t="s">
        <v>216</v>
      </c>
      <c r="E3" s="128">
        <v>1</v>
      </c>
      <c r="F3" s="128" t="s">
        <v>233</v>
      </c>
      <c r="G3" s="128">
        <v>10</v>
      </c>
      <c r="H3" s="128">
        <v>11</v>
      </c>
      <c r="I3" s="633">
        <v>367.5</v>
      </c>
      <c r="J3" s="128">
        <v>367.5</v>
      </c>
      <c r="K3" s="128">
        <v>7.0000000000000007E-2</v>
      </c>
      <c r="L3" s="128">
        <v>0.03</v>
      </c>
      <c r="M3" s="128">
        <v>0</v>
      </c>
      <c r="N3" s="128">
        <v>0</v>
      </c>
      <c r="O3" s="128">
        <v>0</v>
      </c>
      <c r="P3" s="128">
        <v>0</v>
      </c>
      <c r="Q3" s="128">
        <v>0.14000000000000001</v>
      </c>
      <c r="R3" s="128">
        <v>0.03</v>
      </c>
      <c r="S3" s="128">
        <v>0.01</v>
      </c>
      <c r="T3" s="128">
        <v>0.01</v>
      </c>
      <c r="U3" s="128">
        <v>0</v>
      </c>
      <c r="V3" s="128">
        <v>0</v>
      </c>
      <c r="W3" s="128">
        <v>0.64</v>
      </c>
      <c r="X3" s="128">
        <v>0.06</v>
      </c>
      <c r="Y3" s="128">
        <v>0.03</v>
      </c>
      <c r="Z3" s="128">
        <v>15.46</v>
      </c>
    </row>
    <row r="4" spans="1:26" x14ac:dyDescent="0.2">
      <c r="A4" s="634">
        <v>302</v>
      </c>
      <c r="B4" s="128" t="s">
        <v>935</v>
      </c>
      <c r="C4" s="128">
        <v>27</v>
      </c>
      <c r="D4" s="128" t="s">
        <v>216</v>
      </c>
      <c r="E4" s="128">
        <v>1</v>
      </c>
      <c r="F4" s="128" t="s">
        <v>233</v>
      </c>
      <c r="G4" s="128">
        <v>20</v>
      </c>
      <c r="H4" s="128">
        <v>21</v>
      </c>
      <c r="I4" s="633">
        <v>367.6</v>
      </c>
      <c r="J4" s="128">
        <v>367.6</v>
      </c>
      <c r="K4" s="128">
        <v>7.0000000000000007E-2</v>
      </c>
      <c r="L4" s="128">
        <v>0.04</v>
      </c>
      <c r="M4" s="128">
        <v>0</v>
      </c>
      <c r="N4" s="128">
        <v>0</v>
      </c>
      <c r="O4" s="128">
        <v>0</v>
      </c>
      <c r="P4" s="128">
        <v>0</v>
      </c>
      <c r="Q4" s="128">
        <v>0.15</v>
      </c>
      <c r="R4" s="128">
        <v>0.03</v>
      </c>
      <c r="S4" s="128">
        <v>0</v>
      </c>
      <c r="T4" s="128">
        <v>0</v>
      </c>
      <c r="U4" s="128">
        <v>0</v>
      </c>
      <c r="V4" s="128">
        <v>0</v>
      </c>
      <c r="W4" s="128">
        <v>0.71</v>
      </c>
      <c r="X4" s="128">
        <v>0</v>
      </c>
      <c r="Y4" s="128">
        <v>0</v>
      </c>
      <c r="Z4" s="128">
        <v>15.52</v>
      </c>
    </row>
    <row r="5" spans="1:26" x14ac:dyDescent="0.2">
      <c r="A5" s="634">
        <v>302</v>
      </c>
      <c r="B5" s="128" t="s">
        <v>935</v>
      </c>
      <c r="C5" s="128">
        <v>27</v>
      </c>
      <c r="D5" s="128" t="s">
        <v>216</v>
      </c>
      <c r="E5" s="128">
        <v>1</v>
      </c>
      <c r="F5" s="128" t="s">
        <v>233</v>
      </c>
      <c r="G5" s="128">
        <v>30</v>
      </c>
      <c r="H5" s="128">
        <v>31</v>
      </c>
      <c r="I5" s="633">
        <v>367.7</v>
      </c>
      <c r="J5" s="128">
        <v>367.7</v>
      </c>
      <c r="K5" s="128">
        <v>0.08</v>
      </c>
      <c r="L5" s="128">
        <v>0.03</v>
      </c>
      <c r="M5" s="128">
        <v>0</v>
      </c>
      <c r="N5" s="128">
        <v>0</v>
      </c>
      <c r="O5" s="128">
        <v>0</v>
      </c>
      <c r="P5" s="128">
        <v>0</v>
      </c>
      <c r="Q5" s="128">
        <v>0.17</v>
      </c>
      <c r="R5" s="128">
        <v>0.04</v>
      </c>
      <c r="S5" s="128">
        <v>0.02</v>
      </c>
      <c r="T5" s="128">
        <v>0.01</v>
      </c>
      <c r="U5" s="128">
        <v>0.01</v>
      </c>
      <c r="V5" s="128">
        <v>0</v>
      </c>
      <c r="W5" s="128">
        <v>0.55000000000000004</v>
      </c>
      <c r="X5" s="128">
        <v>7.0000000000000007E-2</v>
      </c>
      <c r="Y5" s="128">
        <v>0.03</v>
      </c>
      <c r="Z5" s="128">
        <v>13.74</v>
      </c>
    </row>
    <row r="6" spans="1:26" x14ac:dyDescent="0.2">
      <c r="A6" s="634">
        <v>302</v>
      </c>
      <c r="B6" s="128" t="s">
        <v>935</v>
      </c>
      <c r="C6" s="128">
        <v>27</v>
      </c>
      <c r="D6" s="128" t="s">
        <v>216</v>
      </c>
      <c r="E6" s="128">
        <v>1</v>
      </c>
      <c r="F6" s="128" t="s">
        <v>233</v>
      </c>
      <c r="G6" s="128">
        <v>40</v>
      </c>
      <c r="H6" s="128">
        <v>41</v>
      </c>
      <c r="I6" s="633">
        <v>367.8</v>
      </c>
      <c r="J6" s="128">
        <v>367.8</v>
      </c>
      <c r="K6" s="128">
        <v>0.06</v>
      </c>
      <c r="L6" s="128">
        <v>0.03</v>
      </c>
      <c r="M6" s="128">
        <v>0</v>
      </c>
      <c r="N6" s="128">
        <v>0</v>
      </c>
      <c r="O6" s="128">
        <v>0</v>
      </c>
      <c r="P6" s="128">
        <v>0</v>
      </c>
      <c r="Q6" s="128">
        <v>0.15</v>
      </c>
      <c r="R6" s="128">
        <v>0.04</v>
      </c>
      <c r="S6" s="128">
        <v>0.02</v>
      </c>
      <c r="T6" s="128">
        <v>0.01</v>
      </c>
      <c r="U6" s="128">
        <v>0</v>
      </c>
      <c r="V6" s="128">
        <v>0</v>
      </c>
      <c r="W6" s="128">
        <v>0.61</v>
      </c>
      <c r="X6" s="128">
        <v>0.06</v>
      </c>
      <c r="Y6" s="128">
        <v>0.03</v>
      </c>
      <c r="Z6" s="128">
        <v>15.06</v>
      </c>
    </row>
    <row r="7" spans="1:26" x14ac:dyDescent="0.2">
      <c r="A7" s="634">
        <v>302</v>
      </c>
      <c r="B7" s="128" t="s">
        <v>935</v>
      </c>
      <c r="C7" s="128">
        <v>27</v>
      </c>
      <c r="D7" s="128" t="s">
        <v>216</v>
      </c>
      <c r="E7" s="128">
        <v>1</v>
      </c>
      <c r="F7" s="128" t="s">
        <v>233</v>
      </c>
      <c r="G7" s="128">
        <v>50</v>
      </c>
      <c r="H7" s="128">
        <v>51</v>
      </c>
      <c r="I7" s="633">
        <v>368</v>
      </c>
      <c r="J7" s="128">
        <v>368</v>
      </c>
      <c r="K7" s="128">
        <v>0.06</v>
      </c>
      <c r="L7" s="128">
        <v>0.03</v>
      </c>
      <c r="M7" s="128">
        <v>0</v>
      </c>
      <c r="N7" s="128">
        <v>0</v>
      </c>
      <c r="O7" s="128">
        <v>0</v>
      </c>
      <c r="P7" s="128">
        <v>0</v>
      </c>
      <c r="Q7" s="128">
        <v>0.14000000000000001</v>
      </c>
      <c r="R7" s="128">
        <v>0.03</v>
      </c>
      <c r="S7" s="128">
        <v>0.01</v>
      </c>
      <c r="T7" s="128">
        <v>0.01</v>
      </c>
      <c r="U7" s="128">
        <v>0</v>
      </c>
      <c r="V7" s="128">
        <v>0</v>
      </c>
      <c r="W7" s="128">
        <v>0.65</v>
      </c>
      <c r="X7" s="128">
        <v>0.06</v>
      </c>
      <c r="Y7" s="128">
        <v>0.02</v>
      </c>
      <c r="Z7" s="128">
        <v>15.95</v>
      </c>
    </row>
    <row r="8" spans="1:26" x14ac:dyDescent="0.2">
      <c r="A8" s="634">
        <v>302</v>
      </c>
      <c r="B8" s="128" t="s">
        <v>935</v>
      </c>
      <c r="C8" s="128">
        <v>27</v>
      </c>
      <c r="D8" s="128" t="s">
        <v>216</v>
      </c>
      <c r="E8" s="128">
        <v>1</v>
      </c>
      <c r="F8" s="128" t="s">
        <v>233</v>
      </c>
      <c r="G8" s="128">
        <v>55</v>
      </c>
      <c r="H8" s="128">
        <v>56</v>
      </c>
      <c r="I8" s="633">
        <v>367.95</v>
      </c>
      <c r="J8" s="128">
        <v>367.95</v>
      </c>
      <c r="K8" s="128">
        <v>0.06</v>
      </c>
      <c r="L8" s="128">
        <v>0.03</v>
      </c>
      <c r="M8" s="128">
        <v>0</v>
      </c>
      <c r="N8" s="128">
        <v>0</v>
      </c>
      <c r="O8" s="128">
        <v>0</v>
      </c>
      <c r="P8" s="128">
        <v>0</v>
      </c>
      <c r="Q8" s="128">
        <v>0.12</v>
      </c>
      <c r="R8" s="128">
        <v>0.03</v>
      </c>
      <c r="S8" s="128">
        <v>0</v>
      </c>
      <c r="T8" s="128">
        <v>0</v>
      </c>
      <c r="U8" s="128">
        <v>0</v>
      </c>
      <c r="V8" s="128">
        <v>0</v>
      </c>
      <c r="W8" s="128">
        <v>0.68</v>
      </c>
      <c r="X8" s="128">
        <v>0.05</v>
      </c>
      <c r="Y8" s="128">
        <v>0.02</v>
      </c>
      <c r="Z8" s="128">
        <v>16.84</v>
      </c>
    </row>
    <row r="9" spans="1:26" x14ac:dyDescent="0.2">
      <c r="A9" s="634">
        <v>302</v>
      </c>
      <c r="B9" s="128" t="s">
        <v>935</v>
      </c>
      <c r="C9" s="128">
        <v>27</v>
      </c>
      <c r="D9" s="128" t="s">
        <v>216</v>
      </c>
      <c r="E9" s="128">
        <v>1</v>
      </c>
      <c r="F9" s="128" t="s">
        <v>233</v>
      </c>
      <c r="G9" s="128">
        <v>59</v>
      </c>
      <c r="H9" s="128">
        <v>60</v>
      </c>
      <c r="I9" s="633">
        <v>367.99</v>
      </c>
      <c r="J9" s="128">
        <v>367.99</v>
      </c>
      <c r="K9" s="128">
        <v>0.09</v>
      </c>
      <c r="L9" s="128">
        <v>0.04</v>
      </c>
      <c r="M9" s="128">
        <v>0</v>
      </c>
      <c r="N9" s="128">
        <v>0</v>
      </c>
      <c r="O9" s="128">
        <v>0</v>
      </c>
      <c r="P9" s="128">
        <v>0</v>
      </c>
      <c r="Q9" s="128">
        <v>0.1</v>
      </c>
      <c r="R9" s="128">
        <v>0.04</v>
      </c>
      <c r="S9" s="128">
        <v>0.01</v>
      </c>
      <c r="T9" s="128">
        <v>0.01</v>
      </c>
      <c r="U9" s="128">
        <v>0</v>
      </c>
      <c r="V9" s="128">
        <v>0</v>
      </c>
      <c r="W9" s="128">
        <v>0.65</v>
      </c>
      <c r="X9" s="128">
        <v>0.04</v>
      </c>
      <c r="Y9" s="128">
        <v>0.01</v>
      </c>
      <c r="Z9" s="128">
        <v>15.83</v>
      </c>
    </row>
    <row r="10" spans="1:26" x14ac:dyDescent="0.2">
      <c r="A10" s="634">
        <v>302</v>
      </c>
      <c r="B10" s="128" t="s">
        <v>935</v>
      </c>
      <c r="C10" s="128">
        <v>27</v>
      </c>
      <c r="D10" s="128" t="s">
        <v>216</v>
      </c>
      <c r="E10" s="128">
        <v>1</v>
      </c>
      <c r="F10" s="128" t="s">
        <v>233</v>
      </c>
      <c r="G10" s="128">
        <v>65</v>
      </c>
      <c r="H10" s="128">
        <v>66</v>
      </c>
      <c r="I10" s="633">
        <v>368.05</v>
      </c>
      <c r="J10" s="128">
        <v>368.05</v>
      </c>
      <c r="K10" s="128">
        <v>0.04</v>
      </c>
      <c r="L10" s="128">
        <v>0.03</v>
      </c>
      <c r="M10" s="128">
        <v>0</v>
      </c>
      <c r="N10" s="128">
        <v>0</v>
      </c>
      <c r="O10" s="128">
        <v>0</v>
      </c>
      <c r="P10" s="128">
        <v>0</v>
      </c>
      <c r="Q10" s="128">
        <v>0.12</v>
      </c>
      <c r="R10" s="128">
        <v>0.03</v>
      </c>
      <c r="S10" s="128">
        <v>0.01</v>
      </c>
      <c r="T10" s="128">
        <v>0</v>
      </c>
      <c r="U10" s="128">
        <v>0</v>
      </c>
      <c r="V10" s="128">
        <v>0</v>
      </c>
      <c r="W10" s="128">
        <v>0.68</v>
      </c>
      <c r="X10" s="128">
        <v>0.06</v>
      </c>
      <c r="Y10" s="128">
        <v>0.03</v>
      </c>
      <c r="Z10" s="128">
        <v>16.899999999999999</v>
      </c>
    </row>
    <row r="11" spans="1:26" x14ac:dyDescent="0.2">
      <c r="A11" s="634">
        <v>302</v>
      </c>
      <c r="B11" s="128" t="s">
        <v>935</v>
      </c>
      <c r="C11" s="128">
        <v>27</v>
      </c>
      <c r="D11" s="128" t="s">
        <v>216</v>
      </c>
      <c r="E11" s="128">
        <v>1</v>
      </c>
      <c r="F11" s="128" t="s">
        <v>233</v>
      </c>
      <c r="G11" s="128">
        <v>68</v>
      </c>
      <c r="H11" s="128">
        <v>70</v>
      </c>
      <c r="I11" s="633">
        <v>368.08</v>
      </c>
      <c r="J11" s="128">
        <v>368.08</v>
      </c>
      <c r="K11" s="128">
        <v>0.04</v>
      </c>
      <c r="L11" s="128">
        <v>0.04</v>
      </c>
      <c r="M11" s="128">
        <v>0</v>
      </c>
      <c r="N11" s="128">
        <v>0</v>
      </c>
      <c r="O11" s="128">
        <v>0</v>
      </c>
      <c r="P11" s="128">
        <v>0</v>
      </c>
      <c r="Q11" s="128">
        <v>0.13</v>
      </c>
      <c r="R11" s="128">
        <v>0.03</v>
      </c>
      <c r="S11" s="128">
        <v>0.01</v>
      </c>
      <c r="T11" s="128">
        <v>0.01</v>
      </c>
      <c r="U11" s="128">
        <v>0</v>
      </c>
      <c r="V11" s="128">
        <v>0</v>
      </c>
      <c r="W11" s="128">
        <v>0.68</v>
      </c>
      <c r="X11" s="128">
        <v>0.05</v>
      </c>
      <c r="Y11" s="128">
        <v>0.02</v>
      </c>
      <c r="Z11" s="128">
        <v>16.760000000000002</v>
      </c>
    </row>
    <row r="12" spans="1:26" x14ac:dyDescent="0.2">
      <c r="A12" s="634">
        <v>302</v>
      </c>
      <c r="B12" s="128" t="s">
        <v>935</v>
      </c>
      <c r="C12" s="128">
        <v>27</v>
      </c>
      <c r="D12" s="128" t="s">
        <v>216</v>
      </c>
      <c r="E12" s="128">
        <v>1</v>
      </c>
      <c r="F12" s="128" t="s">
        <v>233</v>
      </c>
      <c r="G12" s="128">
        <v>72</v>
      </c>
      <c r="H12" s="128">
        <v>73</v>
      </c>
      <c r="I12" s="633">
        <v>368.12</v>
      </c>
      <c r="J12" s="128">
        <v>368.12</v>
      </c>
      <c r="K12" s="128">
        <v>0.04</v>
      </c>
      <c r="L12" s="128">
        <v>0.03</v>
      </c>
      <c r="M12" s="128">
        <v>0</v>
      </c>
      <c r="N12" s="128">
        <v>0</v>
      </c>
      <c r="O12" s="128">
        <v>0</v>
      </c>
      <c r="P12" s="128">
        <v>0</v>
      </c>
      <c r="Q12" s="128">
        <v>0.13</v>
      </c>
      <c r="R12" s="128">
        <v>0.03</v>
      </c>
      <c r="S12" s="128">
        <v>0.02</v>
      </c>
      <c r="T12" s="128">
        <v>0</v>
      </c>
      <c r="U12" s="128">
        <v>0</v>
      </c>
      <c r="V12" s="128">
        <v>0</v>
      </c>
      <c r="W12" s="128">
        <v>0.67</v>
      </c>
      <c r="X12" s="128">
        <v>0.06</v>
      </c>
      <c r="Y12" s="128">
        <v>0.03</v>
      </c>
      <c r="Z12" s="128">
        <v>16.57</v>
      </c>
    </row>
    <row r="13" spans="1:26" x14ac:dyDescent="0.2">
      <c r="A13" s="634">
        <v>302</v>
      </c>
      <c r="B13" s="128" t="s">
        <v>935</v>
      </c>
      <c r="C13" s="128">
        <v>27</v>
      </c>
      <c r="D13" s="128" t="s">
        <v>216</v>
      </c>
      <c r="E13" s="128">
        <v>1</v>
      </c>
      <c r="F13" s="128" t="s">
        <v>233</v>
      </c>
      <c r="G13" s="128">
        <v>81</v>
      </c>
      <c r="H13" s="128">
        <v>82</v>
      </c>
      <c r="I13" s="633">
        <v>368.21</v>
      </c>
      <c r="J13" s="128">
        <v>368.21</v>
      </c>
      <c r="K13" s="128">
        <v>0.04</v>
      </c>
      <c r="L13" s="128">
        <v>0.03</v>
      </c>
      <c r="M13" s="128">
        <v>0</v>
      </c>
      <c r="N13" s="128">
        <v>0</v>
      </c>
      <c r="O13" s="128">
        <v>0</v>
      </c>
      <c r="P13" s="128">
        <v>0</v>
      </c>
      <c r="Q13" s="128">
        <v>0.12</v>
      </c>
      <c r="R13" s="128">
        <v>0.03</v>
      </c>
      <c r="S13" s="128">
        <v>0.01</v>
      </c>
      <c r="T13" s="128">
        <v>0.01</v>
      </c>
      <c r="U13" s="128">
        <v>0</v>
      </c>
      <c r="V13" s="128">
        <v>0</v>
      </c>
      <c r="W13" s="128">
        <v>0.68</v>
      </c>
      <c r="X13" s="128">
        <v>0.06</v>
      </c>
      <c r="Y13" s="128">
        <v>0.03</v>
      </c>
      <c r="Z13" s="128">
        <v>17.04</v>
      </c>
    </row>
    <row r="14" spans="1:26" x14ac:dyDescent="0.2">
      <c r="A14" s="634">
        <v>302</v>
      </c>
      <c r="B14" s="128" t="s">
        <v>935</v>
      </c>
      <c r="C14" s="128">
        <v>27</v>
      </c>
      <c r="D14" s="128" t="s">
        <v>216</v>
      </c>
      <c r="E14" s="128">
        <v>1</v>
      </c>
      <c r="F14" s="128" t="s">
        <v>233</v>
      </c>
      <c r="G14" s="128">
        <v>83</v>
      </c>
      <c r="H14" s="128">
        <v>84</v>
      </c>
      <c r="I14" s="633">
        <v>368.23</v>
      </c>
      <c r="J14" s="128">
        <v>368.23</v>
      </c>
      <c r="K14" s="128">
        <v>0.04</v>
      </c>
      <c r="L14" s="128">
        <v>0.03</v>
      </c>
      <c r="M14" s="128">
        <v>0</v>
      </c>
      <c r="N14" s="128">
        <v>0</v>
      </c>
      <c r="O14" s="128">
        <v>0</v>
      </c>
      <c r="P14" s="128">
        <v>0</v>
      </c>
      <c r="Q14" s="128">
        <v>0.12</v>
      </c>
      <c r="R14" s="128">
        <v>0.03</v>
      </c>
      <c r="S14" s="128">
        <v>0.02</v>
      </c>
      <c r="T14" s="128">
        <v>0.01</v>
      </c>
      <c r="U14" s="128">
        <v>0</v>
      </c>
      <c r="V14" s="128">
        <v>0</v>
      </c>
      <c r="W14" s="128">
        <v>0.66</v>
      </c>
      <c r="X14" s="128">
        <v>0.06</v>
      </c>
      <c r="Y14" s="128">
        <v>0.03</v>
      </c>
      <c r="Z14" s="128">
        <v>16.48</v>
      </c>
    </row>
    <row r="15" spans="1:26" x14ac:dyDescent="0.2">
      <c r="A15" s="634">
        <v>302</v>
      </c>
      <c r="B15" s="128" t="s">
        <v>935</v>
      </c>
      <c r="C15" s="128">
        <v>27</v>
      </c>
      <c r="D15" s="128" t="s">
        <v>216</v>
      </c>
      <c r="E15" s="128">
        <v>1</v>
      </c>
      <c r="F15" s="128" t="s">
        <v>233</v>
      </c>
      <c r="G15" s="128">
        <v>88</v>
      </c>
      <c r="H15" s="128">
        <v>89</v>
      </c>
      <c r="I15" s="633">
        <v>368.28</v>
      </c>
      <c r="J15" s="128">
        <v>368.28</v>
      </c>
      <c r="K15" s="128">
        <v>0.06</v>
      </c>
      <c r="L15" s="128">
        <v>0.03</v>
      </c>
      <c r="M15" s="128">
        <v>0</v>
      </c>
      <c r="N15" s="128">
        <v>0</v>
      </c>
      <c r="O15" s="128">
        <v>0</v>
      </c>
      <c r="P15" s="128">
        <v>0</v>
      </c>
      <c r="Q15" s="128">
        <v>0.16</v>
      </c>
      <c r="R15" s="128">
        <v>0.03</v>
      </c>
      <c r="S15" s="128">
        <v>0.01</v>
      </c>
      <c r="T15" s="128">
        <v>0.01</v>
      </c>
      <c r="U15" s="128">
        <v>0</v>
      </c>
      <c r="V15" s="128">
        <v>0</v>
      </c>
      <c r="W15" s="128">
        <v>0.62</v>
      </c>
      <c r="X15" s="128">
        <v>0.06</v>
      </c>
      <c r="Y15" s="128">
        <v>0.03</v>
      </c>
      <c r="Z15" s="128">
        <v>14.98</v>
      </c>
    </row>
    <row r="16" spans="1:26" x14ac:dyDescent="0.2">
      <c r="A16" s="634">
        <v>302</v>
      </c>
      <c r="B16" s="128" t="s">
        <v>935</v>
      </c>
      <c r="C16" s="128">
        <v>27</v>
      </c>
      <c r="D16" s="128" t="s">
        <v>216</v>
      </c>
      <c r="E16" s="128">
        <v>1</v>
      </c>
      <c r="F16" s="128" t="s">
        <v>233</v>
      </c>
      <c r="G16" s="128">
        <v>94</v>
      </c>
      <c r="H16" s="128">
        <v>95</v>
      </c>
      <c r="I16" s="633">
        <v>368.34</v>
      </c>
      <c r="J16" s="128">
        <v>368.34</v>
      </c>
      <c r="K16" s="128">
        <v>7.0000000000000007E-2</v>
      </c>
      <c r="L16" s="128">
        <v>0.02</v>
      </c>
      <c r="M16" s="128">
        <v>0</v>
      </c>
      <c r="N16" s="128">
        <v>0</v>
      </c>
      <c r="O16" s="128">
        <v>0</v>
      </c>
      <c r="P16" s="128">
        <v>0</v>
      </c>
      <c r="Q16" s="128">
        <v>0.15</v>
      </c>
      <c r="R16" s="128">
        <v>0.02</v>
      </c>
      <c r="S16" s="128">
        <v>0.01</v>
      </c>
      <c r="T16" s="128">
        <v>0.01</v>
      </c>
      <c r="U16" s="128">
        <v>0</v>
      </c>
      <c r="V16" s="128">
        <v>0</v>
      </c>
      <c r="W16" s="128">
        <v>0.63</v>
      </c>
      <c r="X16" s="128">
        <v>0.06</v>
      </c>
      <c r="Y16" s="128">
        <v>0.03</v>
      </c>
      <c r="Z16" s="128">
        <v>15.06</v>
      </c>
    </row>
    <row r="17" spans="1:26" x14ac:dyDescent="0.2">
      <c r="A17" s="634">
        <v>302</v>
      </c>
      <c r="B17" s="128" t="s">
        <v>935</v>
      </c>
      <c r="C17" s="128">
        <v>27</v>
      </c>
      <c r="D17" s="128" t="s">
        <v>216</v>
      </c>
      <c r="E17" s="128">
        <v>1</v>
      </c>
      <c r="F17" s="128" t="s">
        <v>233</v>
      </c>
      <c r="G17" s="128">
        <v>101</v>
      </c>
      <c r="H17" s="128">
        <v>102</v>
      </c>
      <c r="I17" s="633">
        <v>368.41</v>
      </c>
      <c r="J17" s="128">
        <v>368.41</v>
      </c>
      <c r="K17" s="128">
        <v>0.05</v>
      </c>
      <c r="L17" s="128">
        <v>0.03</v>
      </c>
      <c r="M17" s="128">
        <v>0</v>
      </c>
      <c r="N17" s="128">
        <v>0</v>
      </c>
      <c r="O17" s="128">
        <v>0</v>
      </c>
      <c r="P17" s="128">
        <v>0</v>
      </c>
      <c r="Q17" s="128">
        <v>0.1</v>
      </c>
      <c r="R17" s="128">
        <v>0.03</v>
      </c>
      <c r="S17" s="128">
        <v>0.02</v>
      </c>
      <c r="T17" s="128">
        <v>0.01</v>
      </c>
      <c r="U17" s="128">
        <v>0</v>
      </c>
      <c r="V17" s="128">
        <v>0</v>
      </c>
      <c r="W17" s="128">
        <v>0.67</v>
      </c>
      <c r="X17" s="128">
        <v>0.06</v>
      </c>
      <c r="Y17" s="128">
        <v>0.02</v>
      </c>
      <c r="Z17" s="128">
        <v>17.16</v>
      </c>
    </row>
    <row r="18" spans="1:26" x14ac:dyDescent="0.2">
      <c r="A18" s="634">
        <v>302</v>
      </c>
      <c r="B18" s="128" t="s">
        <v>935</v>
      </c>
      <c r="C18" s="128">
        <v>27</v>
      </c>
      <c r="D18" s="128" t="s">
        <v>216</v>
      </c>
      <c r="E18" s="128">
        <v>1</v>
      </c>
      <c r="F18" s="128" t="s">
        <v>233</v>
      </c>
      <c r="G18" s="128">
        <v>104</v>
      </c>
      <c r="H18" s="128">
        <v>105</v>
      </c>
      <c r="I18" s="633">
        <v>368.44</v>
      </c>
      <c r="J18" s="128">
        <v>368.44</v>
      </c>
      <c r="K18" s="128">
        <v>0.08</v>
      </c>
      <c r="L18" s="128">
        <v>0.03</v>
      </c>
      <c r="M18" s="128">
        <v>0</v>
      </c>
      <c r="N18" s="128">
        <v>0</v>
      </c>
      <c r="O18" s="128">
        <v>0</v>
      </c>
      <c r="P18" s="128">
        <v>0</v>
      </c>
      <c r="Q18" s="128">
        <v>0.12</v>
      </c>
      <c r="R18" s="128">
        <v>0.03</v>
      </c>
      <c r="S18" s="128">
        <v>0.02</v>
      </c>
      <c r="T18" s="128">
        <v>0.01</v>
      </c>
      <c r="U18" s="128">
        <v>0</v>
      </c>
      <c r="V18" s="128">
        <v>0</v>
      </c>
      <c r="W18" s="128">
        <v>0.62</v>
      </c>
      <c r="X18" s="128">
        <v>0.06</v>
      </c>
      <c r="Y18" s="128">
        <v>0.02</v>
      </c>
      <c r="Z18" s="128">
        <v>15.21</v>
      </c>
    </row>
    <row r="19" spans="1:26" x14ac:dyDescent="0.2">
      <c r="A19" s="634">
        <v>302</v>
      </c>
      <c r="B19" s="128" t="s">
        <v>935</v>
      </c>
      <c r="C19" s="128">
        <v>27</v>
      </c>
      <c r="D19" s="128" t="s">
        <v>216</v>
      </c>
      <c r="E19" s="128">
        <v>1</v>
      </c>
      <c r="F19" s="128" t="s">
        <v>233</v>
      </c>
      <c r="G19" s="128">
        <v>108</v>
      </c>
      <c r="H19" s="128">
        <v>109</v>
      </c>
      <c r="I19" s="633">
        <v>368.48</v>
      </c>
      <c r="J19" s="128">
        <v>368.48</v>
      </c>
      <c r="K19" s="128">
        <v>0.06</v>
      </c>
      <c r="L19" s="128">
        <v>0.03</v>
      </c>
      <c r="M19" s="128">
        <v>0</v>
      </c>
      <c r="N19" s="128">
        <v>0</v>
      </c>
      <c r="O19" s="128">
        <v>0</v>
      </c>
      <c r="P19" s="128">
        <v>0</v>
      </c>
      <c r="Q19" s="128">
        <v>0.1</v>
      </c>
      <c r="R19" s="128">
        <v>0.02</v>
      </c>
      <c r="S19" s="128">
        <v>0.01</v>
      </c>
      <c r="T19" s="128">
        <v>0.01</v>
      </c>
      <c r="U19" s="128">
        <v>0</v>
      </c>
      <c r="V19" s="128">
        <v>0</v>
      </c>
      <c r="W19" s="128">
        <v>0.69</v>
      </c>
      <c r="X19" s="128">
        <v>0.06</v>
      </c>
      <c r="Y19" s="128">
        <v>0.02</v>
      </c>
      <c r="Z19" s="128">
        <v>16.89</v>
      </c>
    </row>
    <row r="20" spans="1:26" x14ac:dyDescent="0.2">
      <c r="A20" s="634">
        <v>302</v>
      </c>
      <c r="B20" s="128" t="s">
        <v>935</v>
      </c>
      <c r="C20" s="128">
        <v>27</v>
      </c>
      <c r="D20" s="128" t="s">
        <v>216</v>
      </c>
      <c r="E20" s="128">
        <v>1</v>
      </c>
      <c r="F20" s="128" t="s">
        <v>233</v>
      </c>
      <c r="G20" s="128">
        <v>115</v>
      </c>
      <c r="H20" s="128">
        <v>116</v>
      </c>
      <c r="I20" s="633">
        <v>368.55</v>
      </c>
      <c r="J20" s="128">
        <v>368.55</v>
      </c>
      <c r="K20" s="128">
        <v>0.06</v>
      </c>
      <c r="L20" s="128">
        <v>0.02</v>
      </c>
      <c r="M20" s="128">
        <v>0</v>
      </c>
      <c r="N20" s="128">
        <v>0</v>
      </c>
      <c r="O20" s="128">
        <v>0</v>
      </c>
      <c r="P20" s="128">
        <v>0</v>
      </c>
      <c r="Q20" s="128">
        <v>0.13</v>
      </c>
      <c r="R20" s="128">
        <v>0.03</v>
      </c>
      <c r="S20" s="128">
        <v>0.01</v>
      </c>
      <c r="T20" s="128">
        <v>0.01</v>
      </c>
      <c r="U20" s="128">
        <v>0</v>
      </c>
      <c r="V20" s="128">
        <v>0</v>
      </c>
      <c r="W20" s="128">
        <v>0.66</v>
      </c>
      <c r="X20" s="128">
        <v>0.05</v>
      </c>
      <c r="Y20" s="128">
        <v>0.02</v>
      </c>
      <c r="Z20" s="128">
        <v>16.05</v>
      </c>
    </row>
    <row r="21" spans="1:26" x14ac:dyDescent="0.2">
      <c r="A21" s="634">
        <v>302</v>
      </c>
      <c r="B21" s="128" t="s">
        <v>935</v>
      </c>
      <c r="C21" s="128">
        <v>27</v>
      </c>
      <c r="D21" s="128" t="s">
        <v>216</v>
      </c>
      <c r="E21" s="128">
        <v>1</v>
      </c>
      <c r="F21" s="128" t="s">
        <v>233</v>
      </c>
      <c r="G21" s="128">
        <v>118</v>
      </c>
      <c r="H21" s="128">
        <v>119</v>
      </c>
      <c r="I21" s="633">
        <v>368.58</v>
      </c>
      <c r="J21" s="128">
        <v>368.58</v>
      </c>
      <c r="K21" s="128">
        <v>7.0000000000000007E-2</v>
      </c>
      <c r="L21" s="128">
        <v>0.03</v>
      </c>
      <c r="M21" s="128">
        <v>0</v>
      </c>
      <c r="N21" s="128">
        <v>0</v>
      </c>
      <c r="O21" s="128">
        <v>0</v>
      </c>
      <c r="P21" s="128">
        <v>0</v>
      </c>
      <c r="Q21" s="128">
        <v>0.12</v>
      </c>
      <c r="R21" s="128">
        <v>0.03</v>
      </c>
      <c r="S21" s="128">
        <v>0.02</v>
      </c>
      <c r="T21" s="128">
        <v>0.01</v>
      </c>
      <c r="U21" s="128">
        <v>0</v>
      </c>
      <c r="V21" s="128">
        <v>0</v>
      </c>
      <c r="W21" s="128">
        <v>0.66</v>
      </c>
      <c r="X21" s="128">
        <v>0.05</v>
      </c>
      <c r="Y21" s="128">
        <v>0.02</v>
      </c>
      <c r="Z21" s="128">
        <v>15.8</v>
      </c>
    </row>
    <row r="22" spans="1:26" x14ac:dyDescent="0.2">
      <c r="A22" s="634">
        <v>302</v>
      </c>
      <c r="B22" s="128" t="s">
        <v>935</v>
      </c>
      <c r="C22" s="128">
        <v>27</v>
      </c>
      <c r="D22" s="128" t="s">
        <v>216</v>
      </c>
      <c r="E22" s="128">
        <v>1</v>
      </c>
      <c r="F22" s="128" t="s">
        <v>233</v>
      </c>
      <c r="G22" s="128">
        <v>122</v>
      </c>
      <c r="H22" s="128">
        <v>123</v>
      </c>
      <c r="I22" s="633">
        <v>368.62</v>
      </c>
      <c r="J22" s="128">
        <v>368.62</v>
      </c>
      <c r="K22" s="128">
        <v>7.0000000000000007E-2</v>
      </c>
      <c r="L22" s="128">
        <v>0.03</v>
      </c>
      <c r="M22" s="128">
        <v>0</v>
      </c>
      <c r="N22" s="128">
        <v>0</v>
      </c>
      <c r="O22" s="128">
        <v>0</v>
      </c>
      <c r="P22" s="128">
        <v>0</v>
      </c>
      <c r="Q22" s="128">
        <v>0.14000000000000001</v>
      </c>
      <c r="R22" s="128">
        <v>0.04</v>
      </c>
      <c r="S22" s="128">
        <v>0</v>
      </c>
      <c r="T22" s="128">
        <v>0</v>
      </c>
      <c r="U22" s="128">
        <v>0</v>
      </c>
      <c r="V22" s="128">
        <v>0</v>
      </c>
      <c r="W22" s="128">
        <v>0.71</v>
      </c>
      <c r="X22" s="128">
        <v>0</v>
      </c>
      <c r="Y22" s="128">
        <v>0</v>
      </c>
      <c r="Z22" s="128">
        <v>15.54</v>
      </c>
    </row>
    <row r="23" spans="1:26" x14ac:dyDescent="0.2">
      <c r="A23" s="634">
        <v>302</v>
      </c>
      <c r="B23" s="128" t="s">
        <v>935</v>
      </c>
      <c r="C23" s="128">
        <v>27</v>
      </c>
      <c r="D23" s="128" t="s">
        <v>216</v>
      </c>
      <c r="E23" s="128">
        <v>1</v>
      </c>
      <c r="F23" s="128" t="s">
        <v>233</v>
      </c>
      <c r="G23" s="128">
        <v>132</v>
      </c>
      <c r="H23" s="128">
        <v>134</v>
      </c>
      <c r="I23" s="633">
        <v>368.72</v>
      </c>
      <c r="J23" s="128">
        <v>368.72</v>
      </c>
      <c r="K23" s="128">
        <v>0.12</v>
      </c>
      <c r="L23" s="128">
        <v>0.04</v>
      </c>
      <c r="M23" s="128">
        <v>0</v>
      </c>
      <c r="N23" s="128">
        <v>0</v>
      </c>
      <c r="O23" s="128">
        <v>0</v>
      </c>
      <c r="P23" s="128">
        <v>0</v>
      </c>
      <c r="Q23" s="128">
        <v>0.12</v>
      </c>
      <c r="R23" s="128">
        <v>0.04</v>
      </c>
      <c r="S23" s="128">
        <v>0.02</v>
      </c>
      <c r="T23" s="128">
        <v>0.01</v>
      </c>
      <c r="U23" s="128">
        <v>0</v>
      </c>
      <c r="V23" s="128">
        <v>0</v>
      </c>
      <c r="W23" s="128">
        <v>0.57999999999999996</v>
      </c>
      <c r="X23" s="128">
        <v>0.06</v>
      </c>
      <c r="Y23" s="128">
        <v>0.02</v>
      </c>
      <c r="Z23" s="128">
        <v>14.24</v>
      </c>
    </row>
    <row r="24" spans="1:26" x14ac:dyDescent="0.2">
      <c r="A24" s="634">
        <v>302</v>
      </c>
      <c r="B24" s="128" t="s">
        <v>935</v>
      </c>
      <c r="C24" s="128">
        <v>27</v>
      </c>
      <c r="D24" s="128" t="s">
        <v>216</v>
      </c>
      <c r="E24" s="128">
        <v>1</v>
      </c>
      <c r="F24" s="128" t="s">
        <v>233</v>
      </c>
      <c r="G24" s="128">
        <v>134</v>
      </c>
      <c r="H24" s="128">
        <v>135</v>
      </c>
      <c r="I24" s="633">
        <v>368.74</v>
      </c>
      <c r="J24" s="128">
        <v>368.74</v>
      </c>
      <c r="K24" s="128">
        <v>0.13</v>
      </c>
      <c r="L24" s="128">
        <v>0.06</v>
      </c>
      <c r="M24" s="128">
        <v>0</v>
      </c>
      <c r="N24" s="128">
        <v>0</v>
      </c>
      <c r="O24" s="128">
        <v>0</v>
      </c>
      <c r="P24" s="128">
        <v>0</v>
      </c>
      <c r="Q24" s="128">
        <v>0.14000000000000001</v>
      </c>
      <c r="R24" s="128">
        <v>0</v>
      </c>
      <c r="S24" s="128">
        <v>0</v>
      </c>
      <c r="T24" s="128">
        <v>0</v>
      </c>
      <c r="U24" s="128">
        <v>0</v>
      </c>
      <c r="V24" s="128">
        <v>0</v>
      </c>
      <c r="W24" s="128">
        <v>0.67</v>
      </c>
      <c r="X24" s="128">
        <v>0</v>
      </c>
      <c r="Y24" s="128">
        <v>0</v>
      </c>
      <c r="Z24" s="128">
        <v>13.69</v>
      </c>
    </row>
    <row r="25" spans="1:26" x14ac:dyDescent="0.2">
      <c r="A25" s="634">
        <v>302</v>
      </c>
      <c r="B25" s="128" t="s">
        <v>935</v>
      </c>
      <c r="C25" s="128">
        <v>27</v>
      </c>
      <c r="D25" s="128" t="s">
        <v>216</v>
      </c>
      <c r="E25" s="128">
        <v>1</v>
      </c>
      <c r="F25" s="128" t="s">
        <v>233</v>
      </c>
      <c r="G25" s="128">
        <v>139</v>
      </c>
      <c r="H25" s="128">
        <v>140</v>
      </c>
      <c r="I25" s="633">
        <v>368.79</v>
      </c>
      <c r="J25" s="128">
        <v>368.79</v>
      </c>
      <c r="K25" s="128">
        <v>0.12</v>
      </c>
      <c r="L25" s="128">
        <v>0.04</v>
      </c>
      <c r="M25" s="128">
        <v>0</v>
      </c>
      <c r="N25" s="128">
        <v>0</v>
      </c>
      <c r="O25" s="128">
        <v>0</v>
      </c>
      <c r="P25" s="128">
        <v>0</v>
      </c>
      <c r="Q25" s="128">
        <v>0.11</v>
      </c>
      <c r="R25" s="128">
        <v>0.04</v>
      </c>
      <c r="S25" s="128">
        <v>0.02</v>
      </c>
      <c r="T25" s="128">
        <v>0.01</v>
      </c>
      <c r="U25" s="128">
        <v>0</v>
      </c>
      <c r="V25" s="128">
        <v>0</v>
      </c>
      <c r="W25" s="128">
        <v>0.57999999999999996</v>
      </c>
      <c r="X25" s="128">
        <v>0.06</v>
      </c>
      <c r="Y25" s="128">
        <v>0.03</v>
      </c>
      <c r="Z25" s="128">
        <v>14.43</v>
      </c>
    </row>
    <row r="26" spans="1:26" x14ac:dyDescent="0.2">
      <c r="A26" s="634">
        <v>302</v>
      </c>
      <c r="B26" s="128" t="s">
        <v>935</v>
      </c>
      <c r="C26" s="128">
        <v>27</v>
      </c>
      <c r="D26" s="128" t="s">
        <v>216</v>
      </c>
      <c r="E26" s="128">
        <v>1</v>
      </c>
      <c r="F26" s="128" t="s">
        <v>233</v>
      </c>
      <c r="G26" s="128">
        <v>144</v>
      </c>
      <c r="H26" s="128">
        <v>145</v>
      </c>
      <c r="I26" s="633">
        <v>368.84</v>
      </c>
      <c r="J26" s="128">
        <v>368.84</v>
      </c>
      <c r="K26" s="128">
        <v>7.0000000000000007E-2</v>
      </c>
      <c r="L26" s="128">
        <v>0.03</v>
      </c>
      <c r="M26" s="128">
        <v>0</v>
      </c>
      <c r="N26" s="128">
        <v>0</v>
      </c>
      <c r="O26" s="128">
        <v>0</v>
      </c>
      <c r="P26" s="128">
        <v>0</v>
      </c>
      <c r="Q26" s="128">
        <v>0.15</v>
      </c>
      <c r="R26" s="128">
        <v>0.03</v>
      </c>
      <c r="S26" s="128">
        <v>0.02</v>
      </c>
      <c r="T26" s="128">
        <v>0.01</v>
      </c>
      <c r="U26" s="128">
        <v>0.01</v>
      </c>
      <c r="V26" s="128">
        <v>0</v>
      </c>
      <c r="W26" s="128">
        <v>0.57999999999999996</v>
      </c>
      <c r="X26" s="128">
        <v>7.0000000000000007E-2</v>
      </c>
      <c r="Y26" s="128">
        <v>0.03</v>
      </c>
      <c r="Z26" s="128">
        <v>14.4</v>
      </c>
    </row>
    <row r="27" spans="1:26" x14ac:dyDescent="0.2">
      <c r="A27" s="634">
        <v>302</v>
      </c>
      <c r="B27" s="128" t="s">
        <v>935</v>
      </c>
      <c r="C27" s="128">
        <v>27</v>
      </c>
      <c r="D27" s="128" t="s">
        <v>216</v>
      </c>
      <c r="E27" s="128">
        <v>1</v>
      </c>
      <c r="F27" s="128" t="s">
        <v>233</v>
      </c>
      <c r="G27" s="128">
        <v>148</v>
      </c>
      <c r="H27" s="128">
        <v>149</v>
      </c>
      <c r="I27" s="633">
        <v>368.88</v>
      </c>
      <c r="J27" s="128">
        <v>368.88</v>
      </c>
      <c r="K27" s="128">
        <v>0.08</v>
      </c>
      <c r="L27" s="128">
        <v>0.03</v>
      </c>
      <c r="M27" s="128">
        <v>0</v>
      </c>
      <c r="N27" s="128">
        <v>0</v>
      </c>
      <c r="O27" s="128">
        <v>0</v>
      </c>
      <c r="P27" s="128">
        <v>0</v>
      </c>
      <c r="Q27" s="128">
        <v>0.17</v>
      </c>
      <c r="R27" s="128">
        <v>0.03</v>
      </c>
      <c r="S27" s="128">
        <v>0.02</v>
      </c>
      <c r="T27" s="128">
        <v>0</v>
      </c>
      <c r="U27" s="128">
        <v>0</v>
      </c>
      <c r="V27" s="128">
        <v>0</v>
      </c>
      <c r="W27" s="128">
        <v>0.57999999999999996</v>
      </c>
      <c r="X27" s="128">
        <v>7.0000000000000007E-2</v>
      </c>
      <c r="Y27" s="128">
        <v>0.03</v>
      </c>
      <c r="Z27" s="128">
        <v>13.98</v>
      </c>
    </row>
    <row r="28" spans="1:26" x14ac:dyDescent="0.2">
      <c r="A28" s="634">
        <v>302</v>
      </c>
      <c r="B28" s="128" t="s">
        <v>935</v>
      </c>
      <c r="C28" s="128">
        <v>27</v>
      </c>
      <c r="D28" s="128" t="s">
        <v>216</v>
      </c>
      <c r="E28" s="128">
        <v>2</v>
      </c>
      <c r="F28" s="128" t="s">
        <v>233</v>
      </c>
      <c r="G28" s="128">
        <v>0</v>
      </c>
      <c r="H28" s="128">
        <v>1</v>
      </c>
      <c r="I28" s="633">
        <v>368.9</v>
      </c>
      <c r="J28" s="128">
        <v>368.9</v>
      </c>
      <c r="K28" s="128">
        <v>0.09</v>
      </c>
      <c r="L28" s="128">
        <v>7.0000000000000007E-2</v>
      </c>
      <c r="M28" s="128">
        <v>0</v>
      </c>
      <c r="N28" s="128">
        <v>0</v>
      </c>
      <c r="O28" s="128">
        <v>0</v>
      </c>
      <c r="P28" s="128">
        <v>0</v>
      </c>
      <c r="Q28" s="128">
        <v>0.15</v>
      </c>
      <c r="R28" s="128">
        <v>0.03</v>
      </c>
      <c r="S28" s="128">
        <v>0</v>
      </c>
      <c r="T28" s="128">
        <v>0</v>
      </c>
      <c r="U28" s="128">
        <v>0</v>
      </c>
      <c r="V28" s="128">
        <v>0</v>
      </c>
      <c r="W28" s="128">
        <v>0.6</v>
      </c>
      <c r="X28" s="128">
        <v>0.06</v>
      </c>
      <c r="Y28" s="128">
        <v>0</v>
      </c>
      <c r="Z28" s="128">
        <v>14.5</v>
      </c>
    </row>
    <row r="29" spans="1:26" x14ac:dyDescent="0.2">
      <c r="A29" s="634">
        <v>302</v>
      </c>
      <c r="B29" s="128" t="s">
        <v>935</v>
      </c>
      <c r="C29" s="128">
        <v>27</v>
      </c>
      <c r="D29" s="128" t="s">
        <v>216</v>
      </c>
      <c r="E29" s="128">
        <v>2</v>
      </c>
      <c r="F29" s="128" t="s">
        <v>233</v>
      </c>
      <c r="G29" s="128">
        <v>4</v>
      </c>
      <c r="H29" s="128">
        <v>5</v>
      </c>
      <c r="I29" s="633">
        <v>368.94</v>
      </c>
      <c r="J29" s="128">
        <v>368.94</v>
      </c>
      <c r="K29" s="128">
        <v>0.06</v>
      </c>
      <c r="L29" s="128">
        <v>0.06</v>
      </c>
      <c r="M29" s="128">
        <v>0</v>
      </c>
      <c r="N29" s="128">
        <v>0</v>
      </c>
      <c r="O29" s="128">
        <v>0</v>
      </c>
      <c r="P29" s="128">
        <v>0</v>
      </c>
      <c r="Q29" s="128">
        <v>0.12</v>
      </c>
      <c r="R29" s="128">
        <v>0.03</v>
      </c>
      <c r="S29" s="128">
        <v>0.02</v>
      </c>
      <c r="T29" s="128">
        <v>0.02</v>
      </c>
      <c r="U29" s="128">
        <v>0</v>
      </c>
      <c r="V29" s="128">
        <v>0</v>
      </c>
      <c r="W29" s="128">
        <v>0.61</v>
      </c>
      <c r="X29" s="128">
        <v>0.06</v>
      </c>
      <c r="Y29" s="128">
        <v>0.03</v>
      </c>
      <c r="Z29" s="128">
        <v>15.88</v>
      </c>
    </row>
    <row r="30" spans="1:26" x14ac:dyDescent="0.2">
      <c r="A30" s="634">
        <v>302</v>
      </c>
      <c r="B30" s="128" t="s">
        <v>935</v>
      </c>
      <c r="C30" s="128">
        <v>27</v>
      </c>
      <c r="D30" s="128" t="s">
        <v>216</v>
      </c>
      <c r="E30" s="128">
        <v>2</v>
      </c>
      <c r="F30" s="128" t="s">
        <v>233</v>
      </c>
      <c r="G30" s="128">
        <v>12</v>
      </c>
      <c r="H30" s="128">
        <v>14</v>
      </c>
      <c r="I30" s="633">
        <v>369.02</v>
      </c>
      <c r="J30" s="128">
        <v>369.02</v>
      </c>
      <c r="K30" s="128">
        <v>0.08</v>
      </c>
      <c r="L30" s="128">
        <v>7.0000000000000007E-2</v>
      </c>
      <c r="M30" s="128">
        <v>0</v>
      </c>
      <c r="N30" s="128">
        <v>0</v>
      </c>
      <c r="O30" s="128">
        <v>0</v>
      </c>
      <c r="P30" s="128">
        <v>0</v>
      </c>
      <c r="Q30" s="128">
        <v>0.15</v>
      </c>
      <c r="R30" s="128">
        <v>0.04</v>
      </c>
      <c r="S30" s="128">
        <v>0.03</v>
      </c>
      <c r="T30" s="128">
        <v>0</v>
      </c>
      <c r="U30" s="128">
        <v>0</v>
      </c>
      <c r="V30" s="128">
        <v>0</v>
      </c>
      <c r="W30" s="128">
        <v>0.56000000000000005</v>
      </c>
      <c r="X30" s="128">
        <v>0.06</v>
      </c>
      <c r="Y30" s="128">
        <v>0</v>
      </c>
      <c r="Z30" s="128">
        <v>13.54</v>
      </c>
    </row>
    <row r="31" spans="1:26" x14ac:dyDescent="0.2">
      <c r="A31" s="634">
        <v>302</v>
      </c>
      <c r="B31" s="128" t="s">
        <v>935</v>
      </c>
      <c r="C31" s="128">
        <v>27</v>
      </c>
      <c r="D31" s="128" t="s">
        <v>216</v>
      </c>
      <c r="E31" s="128">
        <v>2</v>
      </c>
      <c r="F31" s="128" t="s">
        <v>233</v>
      </c>
      <c r="G31" s="128">
        <v>14</v>
      </c>
      <c r="H31" s="128">
        <v>15</v>
      </c>
      <c r="I31" s="633">
        <v>369.04</v>
      </c>
      <c r="J31" s="128">
        <v>369.04</v>
      </c>
      <c r="K31" s="128">
        <v>0.08</v>
      </c>
      <c r="L31" s="128">
        <v>7.0000000000000007E-2</v>
      </c>
      <c r="M31" s="128">
        <v>0</v>
      </c>
      <c r="N31" s="128">
        <v>0</v>
      </c>
      <c r="O31" s="128">
        <v>0</v>
      </c>
      <c r="P31" s="128">
        <v>0</v>
      </c>
      <c r="Q31" s="128">
        <v>0.12</v>
      </c>
      <c r="R31" s="128">
        <v>0.03</v>
      </c>
      <c r="S31" s="128">
        <v>0.03</v>
      </c>
      <c r="T31" s="128">
        <v>0.02</v>
      </c>
      <c r="U31" s="128">
        <v>0.01</v>
      </c>
      <c r="V31" s="128">
        <v>0</v>
      </c>
      <c r="W31" s="128">
        <v>0.54</v>
      </c>
      <c r="X31" s="128">
        <v>0.06</v>
      </c>
      <c r="Y31" s="128">
        <v>0.03</v>
      </c>
      <c r="Z31" s="128">
        <v>14.15</v>
      </c>
    </row>
    <row r="32" spans="1:26" x14ac:dyDescent="0.2">
      <c r="A32" s="634">
        <v>302</v>
      </c>
      <c r="B32" s="128" t="s">
        <v>935</v>
      </c>
      <c r="C32" s="128">
        <v>27</v>
      </c>
      <c r="D32" s="128" t="s">
        <v>216</v>
      </c>
      <c r="E32" s="128">
        <v>2</v>
      </c>
      <c r="F32" s="128" t="s">
        <v>233</v>
      </c>
      <c r="G32" s="128">
        <v>19</v>
      </c>
      <c r="H32" s="128">
        <v>20</v>
      </c>
      <c r="I32" s="633">
        <v>369.09</v>
      </c>
      <c r="J32" s="128">
        <v>369.09</v>
      </c>
      <c r="K32" s="128">
        <v>0.06</v>
      </c>
      <c r="L32" s="128">
        <v>0.04</v>
      </c>
      <c r="M32" s="128">
        <v>0</v>
      </c>
      <c r="N32" s="128">
        <v>0</v>
      </c>
      <c r="O32" s="128">
        <v>0</v>
      </c>
      <c r="P32" s="128">
        <v>0</v>
      </c>
      <c r="Q32" s="128">
        <v>0.14000000000000001</v>
      </c>
      <c r="R32" s="128">
        <v>0.03</v>
      </c>
      <c r="S32" s="128">
        <v>0.02</v>
      </c>
      <c r="T32" s="128">
        <v>0.01</v>
      </c>
      <c r="U32" s="128">
        <v>0</v>
      </c>
      <c r="V32" s="128">
        <v>0</v>
      </c>
      <c r="W32" s="128">
        <v>0.61</v>
      </c>
      <c r="X32" s="128">
        <v>0.06</v>
      </c>
      <c r="Y32" s="128">
        <v>0.03</v>
      </c>
      <c r="Z32" s="128">
        <v>15.21</v>
      </c>
    </row>
    <row r="33" spans="1:26" x14ac:dyDescent="0.2">
      <c r="A33" s="634">
        <v>302</v>
      </c>
      <c r="B33" s="128" t="s">
        <v>935</v>
      </c>
      <c r="C33" s="128">
        <v>27</v>
      </c>
      <c r="D33" s="128" t="s">
        <v>216</v>
      </c>
      <c r="E33" s="128">
        <v>2</v>
      </c>
      <c r="F33" s="128" t="s">
        <v>233</v>
      </c>
      <c r="G33" s="128">
        <v>23</v>
      </c>
      <c r="H33" s="128">
        <v>24</v>
      </c>
      <c r="I33" s="633">
        <v>369.13</v>
      </c>
      <c r="J33" s="128">
        <v>369.13</v>
      </c>
      <c r="K33" s="128">
        <v>0.04</v>
      </c>
      <c r="L33" s="128">
        <v>0.06</v>
      </c>
      <c r="M33" s="128">
        <v>0</v>
      </c>
      <c r="N33" s="128">
        <v>0</v>
      </c>
      <c r="O33" s="128">
        <v>0</v>
      </c>
      <c r="P33" s="128">
        <v>0</v>
      </c>
      <c r="Q33" s="128">
        <v>0.13</v>
      </c>
      <c r="R33" s="128">
        <v>0.03</v>
      </c>
      <c r="S33" s="128">
        <v>0.02</v>
      </c>
      <c r="T33" s="128">
        <v>0.01</v>
      </c>
      <c r="U33" s="128">
        <v>0</v>
      </c>
      <c r="V33" s="128">
        <v>0</v>
      </c>
      <c r="W33" s="128">
        <v>0.63</v>
      </c>
      <c r="X33" s="128">
        <v>0.05</v>
      </c>
      <c r="Y33" s="128">
        <v>0.03</v>
      </c>
      <c r="Z33" s="128">
        <v>16.18</v>
      </c>
    </row>
    <row r="34" spans="1:26" x14ac:dyDescent="0.2">
      <c r="A34" s="634">
        <v>302</v>
      </c>
      <c r="B34" s="128" t="s">
        <v>935</v>
      </c>
      <c r="C34" s="128">
        <v>27</v>
      </c>
      <c r="D34" s="128" t="s">
        <v>216</v>
      </c>
      <c r="E34" s="128">
        <v>2</v>
      </c>
      <c r="F34" s="128" t="s">
        <v>233</v>
      </c>
      <c r="G34" s="128">
        <v>28</v>
      </c>
      <c r="H34" s="128">
        <v>29</v>
      </c>
      <c r="I34" s="633">
        <v>369.18</v>
      </c>
      <c r="J34" s="128">
        <v>369.18</v>
      </c>
      <c r="K34" s="128">
        <v>0.1</v>
      </c>
      <c r="L34" s="128">
        <v>7.0000000000000007E-2</v>
      </c>
      <c r="M34" s="128">
        <v>0</v>
      </c>
      <c r="N34" s="128">
        <v>0.01</v>
      </c>
      <c r="O34" s="128">
        <v>0</v>
      </c>
      <c r="P34" s="128">
        <v>0</v>
      </c>
      <c r="Q34" s="128">
        <v>0.15</v>
      </c>
      <c r="R34" s="128">
        <v>0.04</v>
      </c>
      <c r="S34" s="128">
        <v>0.03</v>
      </c>
      <c r="T34" s="128">
        <v>0.02</v>
      </c>
      <c r="U34" s="128">
        <v>0.01</v>
      </c>
      <c r="V34" s="128">
        <v>0.01</v>
      </c>
      <c r="W34" s="128">
        <v>0.51</v>
      </c>
      <c r="X34" s="128">
        <v>0.05</v>
      </c>
      <c r="Y34" s="128">
        <v>0.02</v>
      </c>
      <c r="Z34" s="128">
        <v>12.89</v>
      </c>
    </row>
    <row r="35" spans="1:26" x14ac:dyDescent="0.2">
      <c r="A35" s="634">
        <v>302</v>
      </c>
      <c r="B35" s="128" t="s">
        <v>935</v>
      </c>
      <c r="C35" s="128">
        <v>27</v>
      </c>
      <c r="D35" s="128" t="s">
        <v>216</v>
      </c>
      <c r="E35" s="128">
        <v>2</v>
      </c>
      <c r="F35" s="128" t="s">
        <v>233</v>
      </c>
      <c r="G35" s="128">
        <v>31</v>
      </c>
      <c r="H35" s="128">
        <v>32</v>
      </c>
      <c r="I35" s="633">
        <v>369.21</v>
      </c>
      <c r="J35" s="128">
        <v>369.21</v>
      </c>
      <c r="K35" s="128">
        <v>7.0000000000000007E-2</v>
      </c>
      <c r="L35" s="128">
        <v>0.05</v>
      </c>
      <c r="M35" s="128">
        <v>0</v>
      </c>
      <c r="N35" s="128">
        <v>0</v>
      </c>
      <c r="O35" s="128">
        <v>0</v>
      </c>
      <c r="P35" s="128">
        <v>0</v>
      </c>
      <c r="Q35" s="128">
        <v>0.13</v>
      </c>
      <c r="R35" s="128">
        <v>0.03</v>
      </c>
      <c r="S35" s="128">
        <v>0.02</v>
      </c>
      <c r="T35" s="128">
        <v>0.02</v>
      </c>
      <c r="U35" s="128">
        <v>0</v>
      </c>
      <c r="V35" s="128">
        <v>0</v>
      </c>
      <c r="W35" s="128">
        <v>0.61</v>
      </c>
      <c r="X35" s="128">
        <v>0.05</v>
      </c>
      <c r="Y35" s="128">
        <v>0.02</v>
      </c>
      <c r="Z35" s="128">
        <v>15.28</v>
      </c>
    </row>
    <row r="36" spans="1:26" x14ac:dyDescent="0.2">
      <c r="A36" s="634">
        <v>302</v>
      </c>
      <c r="B36" s="128" t="s">
        <v>935</v>
      </c>
      <c r="C36" s="128">
        <v>27</v>
      </c>
      <c r="D36" s="128" t="s">
        <v>216</v>
      </c>
      <c r="E36" s="128">
        <v>2</v>
      </c>
      <c r="F36" s="128" t="s">
        <v>233</v>
      </c>
      <c r="G36" s="128">
        <v>40</v>
      </c>
      <c r="H36" s="128">
        <v>42</v>
      </c>
      <c r="I36" s="633">
        <v>369.3</v>
      </c>
      <c r="J36" s="128">
        <v>369.3</v>
      </c>
      <c r="K36" s="128">
        <v>0.12</v>
      </c>
      <c r="L36" s="128">
        <v>0.06</v>
      </c>
      <c r="M36" s="128">
        <v>0</v>
      </c>
      <c r="N36" s="128">
        <v>0</v>
      </c>
      <c r="O36" s="128">
        <v>0</v>
      </c>
      <c r="P36" s="128">
        <v>0</v>
      </c>
      <c r="Q36" s="128">
        <v>0.16</v>
      </c>
      <c r="R36" s="128">
        <v>0.04</v>
      </c>
      <c r="S36" s="128">
        <v>0.03</v>
      </c>
      <c r="T36" s="128">
        <v>0.02</v>
      </c>
      <c r="U36" s="128">
        <v>0.01</v>
      </c>
      <c r="V36" s="128">
        <v>0.01</v>
      </c>
      <c r="W36" s="128">
        <v>0.49</v>
      </c>
      <c r="X36" s="128">
        <v>0.05</v>
      </c>
      <c r="Y36" s="128">
        <v>0.03</v>
      </c>
      <c r="Z36" s="128">
        <v>11.59</v>
      </c>
    </row>
    <row r="37" spans="1:26" x14ac:dyDescent="0.2">
      <c r="A37" s="634">
        <v>302</v>
      </c>
      <c r="B37" s="128" t="s">
        <v>935</v>
      </c>
      <c r="C37" s="128">
        <v>27</v>
      </c>
      <c r="D37" s="128" t="s">
        <v>216</v>
      </c>
      <c r="E37" s="128">
        <v>2</v>
      </c>
      <c r="F37" s="128" t="s">
        <v>233</v>
      </c>
      <c r="G37" s="128">
        <v>44</v>
      </c>
      <c r="H37" s="128">
        <v>45</v>
      </c>
      <c r="I37" s="633">
        <v>369.34</v>
      </c>
      <c r="J37" s="128">
        <v>369.34</v>
      </c>
      <c r="K37" s="128">
        <v>7.0000000000000007E-2</v>
      </c>
      <c r="L37" s="128">
        <v>0.05</v>
      </c>
      <c r="M37" s="128">
        <v>0</v>
      </c>
      <c r="N37" s="128">
        <v>0</v>
      </c>
      <c r="O37" s="128">
        <v>0</v>
      </c>
      <c r="P37" s="128">
        <v>0</v>
      </c>
      <c r="Q37" s="128">
        <v>0.15</v>
      </c>
      <c r="R37" s="128">
        <v>0.03</v>
      </c>
      <c r="S37" s="128">
        <v>0.02</v>
      </c>
      <c r="T37" s="128">
        <v>0.01</v>
      </c>
      <c r="U37" s="128">
        <v>0</v>
      </c>
      <c r="V37" s="128">
        <v>0</v>
      </c>
      <c r="W37" s="128">
        <v>0.56999999999999995</v>
      </c>
      <c r="X37" s="128">
        <v>0.06</v>
      </c>
      <c r="Y37" s="128">
        <v>0.03</v>
      </c>
      <c r="Z37" s="128">
        <v>14.47</v>
      </c>
    </row>
    <row r="38" spans="1:26" x14ac:dyDescent="0.2">
      <c r="A38" s="634">
        <v>302</v>
      </c>
      <c r="B38" s="128" t="s">
        <v>935</v>
      </c>
      <c r="C38" s="128">
        <v>27</v>
      </c>
      <c r="D38" s="128" t="s">
        <v>216</v>
      </c>
      <c r="E38" s="128">
        <v>2</v>
      </c>
      <c r="F38" s="128" t="s">
        <v>233</v>
      </c>
      <c r="G38" s="128">
        <v>50</v>
      </c>
      <c r="H38" s="128">
        <v>51</v>
      </c>
      <c r="I38" s="633">
        <v>369.4</v>
      </c>
      <c r="J38" s="128">
        <v>369.4</v>
      </c>
      <c r="K38" s="128">
        <v>0.08</v>
      </c>
      <c r="L38" s="128">
        <v>0.05</v>
      </c>
      <c r="M38" s="128">
        <v>0</v>
      </c>
      <c r="N38" s="128">
        <v>0</v>
      </c>
      <c r="O38" s="128">
        <v>0</v>
      </c>
      <c r="P38" s="128">
        <v>0</v>
      </c>
      <c r="Q38" s="128">
        <v>0.14000000000000001</v>
      </c>
      <c r="R38" s="128">
        <v>0.03</v>
      </c>
      <c r="S38" s="128">
        <v>0.02</v>
      </c>
      <c r="T38" s="128">
        <v>0.01</v>
      </c>
      <c r="U38" s="128">
        <v>0.01</v>
      </c>
      <c r="V38" s="128">
        <v>0</v>
      </c>
      <c r="W38" s="128">
        <v>0.56999999999999995</v>
      </c>
      <c r="X38" s="128">
        <v>0.06</v>
      </c>
      <c r="Y38" s="128">
        <v>0.03</v>
      </c>
      <c r="Z38" s="128">
        <v>14.3</v>
      </c>
    </row>
    <row r="39" spans="1:26" x14ac:dyDescent="0.2">
      <c r="A39" s="634">
        <v>302</v>
      </c>
      <c r="B39" s="128" t="s">
        <v>935</v>
      </c>
      <c r="C39" s="128">
        <v>27</v>
      </c>
      <c r="D39" s="128" t="s">
        <v>216</v>
      </c>
      <c r="E39" s="128">
        <v>2</v>
      </c>
      <c r="F39" s="128" t="s">
        <v>233</v>
      </c>
      <c r="G39" s="128">
        <v>60</v>
      </c>
      <c r="H39" s="128">
        <v>61</v>
      </c>
      <c r="I39" s="633">
        <v>369.5</v>
      </c>
      <c r="J39" s="128">
        <v>369.5</v>
      </c>
      <c r="K39" s="128">
        <v>0.08</v>
      </c>
      <c r="L39" s="128">
        <v>0.05</v>
      </c>
      <c r="M39" s="128">
        <v>0</v>
      </c>
      <c r="N39" s="128">
        <v>0</v>
      </c>
      <c r="O39" s="128">
        <v>0</v>
      </c>
      <c r="P39" s="128">
        <v>0</v>
      </c>
      <c r="Q39" s="128">
        <v>0.15</v>
      </c>
      <c r="R39" s="128">
        <v>0.03</v>
      </c>
      <c r="S39" s="128">
        <v>0.02</v>
      </c>
      <c r="T39" s="128">
        <v>0.01</v>
      </c>
      <c r="U39" s="128">
        <v>0.01</v>
      </c>
      <c r="V39" s="128">
        <v>0</v>
      </c>
      <c r="W39" s="128">
        <v>0.56000000000000005</v>
      </c>
      <c r="X39" s="128">
        <v>0.05</v>
      </c>
      <c r="Y39" s="128">
        <v>0.03</v>
      </c>
      <c r="Z39" s="128">
        <v>14.07</v>
      </c>
    </row>
    <row r="40" spans="1:26" x14ac:dyDescent="0.2">
      <c r="A40" s="634">
        <v>302</v>
      </c>
      <c r="B40" s="128" t="s">
        <v>935</v>
      </c>
      <c r="C40" s="128">
        <v>27</v>
      </c>
      <c r="D40" s="128" t="s">
        <v>216</v>
      </c>
      <c r="E40" s="128">
        <v>2</v>
      </c>
      <c r="F40" s="128" t="s">
        <v>233</v>
      </c>
      <c r="G40" s="128">
        <v>70</v>
      </c>
      <c r="H40" s="128">
        <v>72</v>
      </c>
      <c r="I40" s="633">
        <v>369.6</v>
      </c>
      <c r="J40" s="128">
        <v>369.6</v>
      </c>
      <c r="K40" s="128">
        <v>0.08</v>
      </c>
      <c r="L40" s="128">
        <v>0.06</v>
      </c>
      <c r="M40" s="128">
        <v>0</v>
      </c>
      <c r="N40" s="128">
        <v>0</v>
      </c>
      <c r="O40" s="128">
        <v>0</v>
      </c>
      <c r="P40" s="128">
        <v>0</v>
      </c>
      <c r="Q40" s="128">
        <v>0.14000000000000001</v>
      </c>
      <c r="R40" s="128">
        <v>0.03</v>
      </c>
      <c r="S40" s="128">
        <v>0.03</v>
      </c>
      <c r="T40" s="128">
        <v>0.01</v>
      </c>
      <c r="U40" s="128">
        <v>0</v>
      </c>
      <c r="V40" s="128">
        <v>0</v>
      </c>
      <c r="W40" s="128">
        <v>0.54</v>
      </c>
      <c r="X40" s="128">
        <v>0.06</v>
      </c>
      <c r="Y40" s="128">
        <v>0.03</v>
      </c>
      <c r="Z40" s="128">
        <v>13.84</v>
      </c>
    </row>
    <row r="41" spans="1:26" x14ac:dyDescent="0.2">
      <c r="A41" s="634">
        <v>302</v>
      </c>
      <c r="B41" s="128" t="s">
        <v>935</v>
      </c>
      <c r="C41" s="128">
        <v>27</v>
      </c>
      <c r="D41" s="128" t="s">
        <v>216</v>
      </c>
      <c r="E41" s="128">
        <v>2</v>
      </c>
      <c r="F41" s="128" t="s">
        <v>233</v>
      </c>
      <c r="G41" s="128">
        <v>80</v>
      </c>
      <c r="H41" s="128">
        <v>81</v>
      </c>
      <c r="I41" s="633">
        <v>369.7</v>
      </c>
      <c r="J41" s="128">
        <v>369.7</v>
      </c>
      <c r="K41" s="128">
        <v>0.04</v>
      </c>
      <c r="L41" s="128">
        <v>0.04</v>
      </c>
      <c r="M41" s="128">
        <v>0.01</v>
      </c>
      <c r="N41" s="128">
        <v>0.01</v>
      </c>
      <c r="O41" s="128">
        <v>0</v>
      </c>
      <c r="P41" s="128">
        <v>0</v>
      </c>
      <c r="Q41" s="128">
        <v>0.14000000000000001</v>
      </c>
      <c r="R41" s="128">
        <v>0.03</v>
      </c>
      <c r="S41" s="128">
        <v>0.01</v>
      </c>
      <c r="T41" s="128">
        <v>0.01</v>
      </c>
      <c r="U41" s="128">
        <v>0</v>
      </c>
      <c r="V41" s="128">
        <v>0</v>
      </c>
      <c r="W41" s="128">
        <v>0.63</v>
      </c>
      <c r="X41" s="128">
        <v>0.05</v>
      </c>
      <c r="Y41" s="128">
        <v>0.03</v>
      </c>
      <c r="Z41" s="128">
        <v>16.14</v>
      </c>
    </row>
    <row r="42" spans="1:26" x14ac:dyDescent="0.2">
      <c r="A42" s="634">
        <v>302</v>
      </c>
      <c r="B42" s="128" t="s">
        <v>935</v>
      </c>
      <c r="C42" s="128">
        <v>27</v>
      </c>
      <c r="D42" s="128" t="s">
        <v>216</v>
      </c>
      <c r="E42" s="128">
        <v>2</v>
      </c>
      <c r="F42" s="128" t="s">
        <v>233</v>
      </c>
      <c r="G42" s="128">
        <v>90</v>
      </c>
      <c r="H42" s="128">
        <v>91</v>
      </c>
      <c r="I42" s="633">
        <v>369.8</v>
      </c>
      <c r="J42" s="128">
        <v>369.8</v>
      </c>
      <c r="K42" s="128">
        <v>0.06</v>
      </c>
      <c r="L42" s="128">
        <v>0.04</v>
      </c>
      <c r="M42" s="128">
        <v>0</v>
      </c>
      <c r="N42" s="128">
        <v>0</v>
      </c>
      <c r="O42" s="128">
        <v>0</v>
      </c>
      <c r="P42" s="128">
        <v>0</v>
      </c>
      <c r="Q42" s="128">
        <v>0.14000000000000001</v>
      </c>
      <c r="R42" s="128">
        <v>0.03</v>
      </c>
      <c r="S42" s="128">
        <v>0.03</v>
      </c>
      <c r="T42" s="128">
        <v>0.02</v>
      </c>
      <c r="U42" s="128">
        <v>0</v>
      </c>
      <c r="V42" s="128">
        <v>0</v>
      </c>
      <c r="W42" s="128">
        <v>0.59</v>
      </c>
      <c r="X42" s="128">
        <v>0.06</v>
      </c>
      <c r="Y42" s="128">
        <v>0.03</v>
      </c>
      <c r="Z42" s="128">
        <v>15.05</v>
      </c>
    </row>
    <row r="43" spans="1:26" x14ac:dyDescent="0.2">
      <c r="A43" s="634">
        <v>302</v>
      </c>
      <c r="B43" s="128" t="s">
        <v>935</v>
      </c>
      <c r="C43" s="128">
        <v>27</v>
      </c>
      <c r="D43" s="128" t="s">
        <v>216</v>
      </c>
      <c r="E43" s="128">
        <v>2</v>
      </c>
      <c r="F43" s="128" t="s">
        <v>233</v>
      </c>
      <c r="G43" s="128">
        <v>98</v>
      </c>
      <c r="H43" s="128">
        <v>100</v>
      </c>
      <c r="I43" s="633">
        <v>369.88</v>
      </c>
      <c r="J43" s="128">
        <v>369.88</v>
      </c>
      <c r="K43" s="128">
        <v>0.05</v>
      </c>
      <c r="L43" s="128">
        <v>0.05</v>
      </c>
      <c r="M43" s="128">
        <v>0</v>
      </c>
      <c r="N43" s="128">
        <v>0</v>
      </c>
      <c r="O43" s="128">
        <v>0</v>
      </c>
      <c r="P43" s="128">
        <v>0</v>
      </c>
      <c r="Q43" s="128">
        <v>0.15</v>
      </c>
      <c r="R43" s="128">
        <v>0.02</v>
      </c>
      <c r="S43" s="128">
        <v>0.02</v>
      </c>
      <c r="T43" s="128">
        <v>0.01</v>
      </c>
      <c r="U43" s="128">
        <v>0.01</v>
      </c>
      <c r="V43" s="128">
        <v>0</v>
      </c>
      <c r="W43" s="128">
        <v>0.56999999999999995</v>
      </c>
      <c r="X43" s="128">
        <v>0.06</v>
      </c>
      <c r="Y43" s="128">
        <v>0.03</v>
      </c>
      <c r="Z43" s="128">
        <v>14.79</v>
      </c>
    </row>
    <row r="44" spans="1:26" x14ac:dyDescent="0.2">
      <c r="A44" s="634">
        <v>302</v>
      </c>
      <c r="B44" s="128" t="s">
        <v>935</v>
      </c>
      <c r="C44" s="128">
        <v>27</v>
      </c>
      <c r="D44" s="128" t="s">
        <v>216</v>
      </c>
      <c r="E44" s="128">
        <v>2</v>
      </c>
      <c r="F44" s="128" t="s">
        <v>233</v>
      </c>
      <c r="G44" s="128">
        <v>108</v>
      </c>
      <c r="H44" s="128">
        <v>109</v>
      </c>
      <c r="I44" s="633">
        <v>369.98</v>
      </c>
      <c r="J44" s="128">
        <v>369.98</v>
      </c>
      <c r="K44" s="128">
        <v>0.08</v>
      </c>
      <c r="L44" s="128">
        <v>0.06</v>
      </c>
      <c r="M44" s="128">
        <v>0</v>
      </c>
      <c r="N44" s="128">
        <v>0.01</v>
      </c>
      <c r="O44" s="128">
        <v>0</v>
      </c>
      <c r="P44" s="128">
        <v>0</v>
      </c>
      <c r="Q44" s="128">
        <v>0.16</v>
      </c>
      <c r="R44" s="128">
        <v>0.03</v>
      </c>
      <c r="S44" s="128">
        <v>0.03</v>
      </c>
      <c r="T44" s="128">
        <v>0.02</v>
      </c>
      <c r="U44" s="128">
        <v>0.01</v>
      </c>
      <c r="V44" s="128">
        <v>0.01</v>
      </c>
      <c r="W44" s="128">
        <v>0.51</v>
      </c>
      <c r="X44" s="128">
        <v>0.05</v>
      </c>
      <c r="Y44" s="128">
        <v>0.03</v>
      </c>
      <c r="Z44" s="128">
        <v>12.87</v>
      </c>
    </row>
    <row r="45" spans="1:26" x14ac:dyDescent="0.2">
      <c r="A45" s="634">
        <v>302</v>
      </c>
      <c r="B45" s="128" t="s">
        <v>935</v>
      </c>
      <c r="C45" s="128">
        <v>27</v>
      </c>
      <c r="D45" s="128" t="s">
        <v>216</v>
      </c>
      <c r="E45" s="128">
        <v>2</v>
      </c>
      <c r="F45" s="128" t="s">
        <v>233</v>
      </c>
      <c r="G45" s="128">
        <v>118</v>
      </c>
      <c r="H45" s="128">
        <v>119</v>
      </c>
      <c r="I45" s="633">
        <v>370.08</v>
      </c>
      <c r="J45" s="128">
        <v>370.08</v>
      </c>
      <c r="K45" s="128">
        <v>7.0000000000000007E-2</v>
      </c>
      <c r="L45" s="128">
        <v>0.05</v>
      </c>
      <c r="M45" s="128">
        <v>0</v>
      </c>
      <c r="N45" s="128">
        <v>0</v>
      </c>
      <c r="O45" s="128">
        <v>0</v>
      </c>
      <c r="P45" s="128">
        <v>0</v>
      </c>
      <c r="Q45" s="128">
        <v>0.16</v>
      </c>
      <c r="R45" s="128">
        <v>0.03</v>
      </c>
      <c r="S45" s="128">
        <v>0.03</v>
      </c>
      <c r="T45" s="128">
        <v>0.01</v>
      </c>
      <c r="U45" s="128">
        <v>0.01</v>
      </c>
      <c r="V45" s="128">
        <v>0</v>
      </c>
      <c r="W45" s="128">
        <v>0.56999999999999995</v>
      </c>
      <c r="X45" s="128">
        <v>0.06</v>
      </c>
      <c r="Y45" s="128">
        <v>0.03</v>
      </c>
      <c r="Z45" s="128">
        <v>14.13</v>
      </c>
    </row>
    <row r="46" spans="1:26" x14ac:dyDescent="0.2">
      <c r="A46" s="634">
        <v>302</v>
      </c>
      <c r="B46" s="128" t="s">
        <v>935</v>
      </c>
      <c r="C46" s="128">
        <v>27</v>
      </c>
      <c r="D46" s="128" t="s">
        <v>216</v>
      </c>
      <c r="E46" s="128">
        <v>2</v>
      </c>
      <c r="F46" s="128" t="s">
        <v>233</v>
      </c>
      <c r="G46" s="128">
        <v>130</v>
      </c>
      <c r="H46" s="128">
        <v>132</v>
      </c>
      <c r="I46" s="633">
        <v>370.2</v>
      </c>
      <c r="J46" s="128">
        <v>370.2</v>
      </c>
      <c r="K46" s="128">
        <v>7.0000000000000007E-2</v>
      </c>
      <c r="L46" s="128">
        <v>0.05</v>
      </c>
      <c r="M46" s="128">
        <v>0</v>
      </c>
      <c r="N46" s="128">
        <v>0</v>
      </c>
      <c r="O46" s="128">
        <v>0</v>
      </c>
      <c r="P46" s="128">
        <v>0</v>
      </c>
      <c r="Q46" s="128">
        <v>0.16</v>
      </c>
      <c r="R46" s="128">
        <v>0.03</v>
      </c>
      <c r="S46" s="128">
        <v>0.02</v>
      </c>
      <c r="T46" s="128">
        <v>0</v>
      </c>
      <c r="U46" s="128">
        <v>0</v>
      </c>
      <c r="V46" s="128">
        <v>0</v>
      </c>
      <c r="W46" s="128">
        <v>0.59</v>
      </c>
      <c r="X46" s="128">
        <v>0.06</v>
      </c>
      <c r="Y46" s="128">
        <v>0.03</v>
      </c>
      <c r="Z46" s="128">
        <v>14.39</v>
      </c>
    </row>
    <row r="47" spans="1:26" x14ac:dyDescent="0.2">
      <c r="A47" s="634">
        <v>302</v>
      </c>
      <c r="B47" s="128" t="s">
        <v>935</v>
      </c>
      <c r="C47" s="128">
        <v>27</v>
      </c>
      <c r="D47" s="128" t="s">
        <v>216</v>
      </c>
      <c r="E47" s="128">
        <v>2</v>
      </c>
      <c r="F47" s="128" t="s">
        <v>233</v>
      </c>
      <c r="G47" s="128">
        <v>140</v>
      </c>
      <c r="H47" s="128">
        <v>141</v>
      </c>
      <c r="I47" s="633">
        <v>370.3</v>
      </c>
      <c r="J47" s="128">
        <v>370.3</v>
      </c>
      <c r="K47" s="128">
        <v>0.11</v>
      </c>
      <c r="L47" s="128">
        <v>0.05</v>
      </c>
      <c r="M47" s="128">
        <v>0</v>
      </c>
      <c r="N47" s="128">
        <v>0</v>
      </c>
      <c r="O47" s="128">
        <v>0</v>
      </c>
      <c r="P47" s="128">
        <v>0</v>
      </c>
      <c r="Q47" s="128">
        <v>0.17</v>
      </c>
      <c r="R47" s="128">
        <v>0.03</v>
      </c>
      <c r="S47" s="128">
        <v>0.02</v>
      </c>
      <c r="T47" s="128">
        <v>0.01</v>
      </c>
      <c r="U47" s="128">
        <v>0.01</v>
      </c>
      <c r="V47" s="128">
        <v>0</v>
      </c>
      <c r="W47" s="128">
        <v>0.52</v>
      </c>
      <c r="X47" s="128">
        <v>0.05</v>
      </c>
      <c r="Y47" s="128">
        <v>0.03</v>
      </c>
      <c r="Z47" s="128">
        <v>12.36</v>
      </c>
    </row>
    <row r="48" spans="1:26" x14ac:dyDescent="0.2">
      <c r="A48" s="634">
        <v>302</v>
      </c>
      <c r="B48" s="128" t="s">
        <v>935</v>
      </c>
      <c r="C48" s="128">
        <v>27</v>
      </c>
      <c r="D48" s="128" t="s">
        <v>216</v>
      </c>
      <c r="E48" s="128">
        <v>2</v>
      </c>
      <c r="F48" s="128" t="s">
        <v>233</v>
      </c>
      <c r="G48" s="128">
        <v>149</v>
      </c>
      <c r="H48" s="128">
        <v>150</v>
      </c>
      <c r="I48" s="633">
        <v>370.39</v>
      </c>
      <c r="J48" s="128">
        <v>370.39</v>
      </c>
      <c r="K48" s="128">
        <v>0.06</v>
      </c>
      <c r="L48" s="128">
        <v>0.04</v>
      </c>
      <c r="M48" s="128">
        <v>0</v>
      </c>
      <c r="N48" s="128">
        <v>0</v>
      </c>
      <c r="O48" s="128">
        <v>0</v>
      </c>
      <c r="P48" s="128">
        <v>0</v>
      </c>
      <c r="Q48" s="128">
        <v>0.14000000000000001</v>
      </c>
      <c r="R48" s="128">
        <v>0.03</v>
      </c>
      <c r="S48" s="128">
        <v>0.02</v>
      </c>
      <c r="T48" s="128">
        <v>0.01</v>
      </c>
      <c r="U48" s="128">
        <v>0</v>
      </c>
      <c r="V48" s="128">
        <v>0</v>
      </c>
      <c r="W48" s="128">
        <v>0.63</v>
      </c>
      <c r="X48" s="128">
        <v>0.05</v>
      </c>
      <c r="Y48" s="128">
        <v>0.02</v>
      </c>
      <c r="Z48" s="128">
        <v>15.43</v>
      </c>
    </row>
    <row r="49" spans="1:26" x14ac:dyDescent="0.2">
      <c r="A49" s="634">
        <v>302</v>
      </c>
      <c r="B49" s="128" t="s">
        <v>935</v>
      </c>
      <c r="C49" s="128">
        <v>27</v>
      </c>
      <c r="D49" s="128" t="s">
        <v>216</v>
      </c>
      <c r="E49" s="128">
        <v>3</v>
      </c>
      <c r="F49" s="128" t="s">
        <v>233</v>
      </c>
      <c r="G49" s="128">
        <v>0</v>
      </c>
      <c r="H49" s="128">
        <v>1</v>
      </c>
      <c r="I49" s="633">
        <v>370.4</v>
      </c>
      <c r="J49" s="128">
        <v>370.4</v>
      </c>
      <c r="K49" s="128">
        <v>0.06</v>
      </c>
      <c r="L49" s="128">
        <v>0.04</v>
      </c>
      <c r="M49" s="128">
        <v>0</v>
      </c>
      <c r="N49" s="128">
        <v>0</v>
      </c>
      <c r="O49" s="128">
        <v>0</v>
      </c>
      <c r="P49" s="128">
        <v>0</v>
      </c>
      <c r="Q49" s="128">
        <v>0.17</v>
      </c>
      <c r="R49" s="128">
        <v>0.04</v>
      </c>
      <c r="S49" s="128">
        <v>0.02</v>
      </c>
      <c r="T49" s="128">
        <v>0</v>
      </c>
      <c r="U49" s="128">
        <v>0</v>
      </c>
      <c r="V49" s="128">
        <v>0</v>
      </c>
      <c r="W49" s="128">
        <v>0.6</v>
      </c>
      <c r="X49" s="128">
        <v>0.05</v>
      </c>
      <c r="Y49" s="128">
        <v>0.02</v>
      </c>
      <c r="Z49" s="128">
        <v>14.4</v>
      </c>
    </row>
    <row r="50" spans="1:26" x14ac:dyDescent="0.2">
      <c r="A50" s="634">
        <v>302</v>
      </c>
      <c r="B50" s="128" t="s">
        <v>935</v>
      </c>
      <c r="C50" s="128">
        <v>27</v>
      </c>
      <c r="D50" s="128" t="s">
        <v>216</v>
      </c>
      <c r="E50" s="128">
        <v>3</v>
      </c>
      <c r="F50" s="128" t="s">
        <v>233</v>
      </c>
      <c r="G50" s="128">
        <v>10</v>
      </c>
      <c r="H50" s="128">
        <v>12</v>
      </c>
      <c r="I50" s="633">
        <v>370.5</v>
      </c>
      <c r="J50" s="128">
        <v>370.5</v>
      </c>
      <c r="K50" s="128">
        <v>0.05</v>
      </c>
      <c r="L50" s="128">
        <v>0.04</v>
      </c>
      <c r="M50" s="128">
        <v>0</v>
      </c>
      <c r="N50" s="128">
        <v>0</v>
      </c>
      <c r="O50" s="128">
        <v>0</v>
      </c>
      <c r="P50" s="128">
        <v>0</v>
      </c>
      <c r="Q50" s="128">
        <v>0.13</v>
      </c>
      <c r="R50" s="128">
        <v>0.03</v>
      </c>
      <c r="S50" s="128">
        <v>0.02</v>
      </c>
      <c r="T50" s="128">
        <v>0.01</v>
      </c>
      <c r="U50" s="128">
        <v>0</v>
      </c>
      <c r="V50" s="128">
        <v>0</v>
      </c>
      <c r="W50" s="128">
        <v>0.63</v>
      </c>
      <c r="X50" s="128">
        <v>0.05</v>
      </c>
      <c r="Y50" s="128">
        <v>0.03</v>
      </c>
      <c r="Z50" s="128">
        <v>15.77</v>
      </c>
    </row>
    <row r="51" spans="1:26" x14ac:dyDescent="0.2">
      <c r="A51" s="634">
        <v>302</v>
      </c>
      <c r="B51" s="128" t="s">
        <v>935</v>
      </c>
      <c r="C51" s="128">
        <v>27</v>
      </c>
      <c r="D51" s="128" t="s">
        <v>216</v>
      </c>
      <c r="E51" s="128">
        <v>3</v>
      </c>
      <c r="F51" s="128" t="s">
        <v>233</v>
      </c>
      <c r="G51" s="128">
        <v>18</v>
      </c>
      <c r="H51" s="128">
        <v>20</v>
      </c>
      <c r="I51" s="633">
        <v>370.58</v>
      </c>
      <c r="J51" s="128">
        <v>370.58</v>
      </c>
      <c r="K51" s="128">
        <v>0.04</v>
      </c>
      <c r="L51" s="128">
        <v>0.03</v>
      </c>
      <c r="M51" s="128">
        <v>0</v>
      </c>
      <c r="N51" s="128">
        <v>0</v>
      </c>
      <c r="O51" s="128">
        <v>0</v>
      </c>
      <c r="P51" s="128">
        <v>0</v>
      </c>
      <c r="Q51" s="128">
        <v>0.17</v>
      </c>
      <c r="R51" s="128">
        <v>0.02</v>
      </c>
      <c r="S51" s="128">
        <v>0.01</v>
      </c>
      <c r="T51" s="128">
        <v>0</v>
      </c>
      <c r="U51" s="128">
        <v>0</v>
      </c>
      <c r="V51" s="128">
        <v>0</v>
      </c>
      <c r="W51" s="128">
        <v>0.66</v>
      </c>
      <c r="X51" s="128">
        <v>0.04</v>
      </c>
      <c r="Y51" s="128">
        <v>0.02</v>
      </c>
      <c r="Z51" s="128">
        <v>15.4</v>
      </c>
    </row>
    <row r="52" spans="1:26" x14ac:dyDescent="0.2">
      <c r="A52" s="634">
        <v>302</v>
      </c>
      <c r="B52" s="128" t="s">
        <v>935</v>
      </c>
      <c r="C52" s="128">
        <v>27</v>
      </c>
      <c r="D52" s="128" t="s">
        <v>216</v>
      </c>
      <c r="E52" s="128">
        <v>3</v>
      </c>
      <c r="F52" s="128" t="s">
        <v>233</v>
      </c>
      <c r="G52" s="128">
        <v>20</v>
      </c>
      <c r="H52" s="128">
        <v>21</v>
      </c>
      <c r="I52" s="633">
        <v>370.6</v>
      </c>
      <c r="J52" s="128">
        <v>370.6</v>
      </c>
      <c r="K52" s="128">
        <v>7.0000000000000007E-2</v>
      </c>
      <c r="L52" s="128">
        <v>0.04</v>
      </c>
      <c r="M52" s="128">
        <v>0</v>
      </c>
      <c r="N52" s="128">
        <v>0</v>
      </c>
      <c r="O52" s="128">
        <v>0</v>
      </c>
      <c r="P52" s="128">
        <v>0</v>
      </c>
      <c r="Q52" s="128">
        <v>0.16</v>
      </c>
      <c r="R52" s="128">
        <v>0.04</v>
      </c>
      <c r="S52" s="128">
        <v>0.02</v>
      </c>
      <c r="T52" s="128">
        <v>0.01</v>
      </c>
      <c r="U52" s="128">
        <v>0</v>
      </c>
      <c r="V52" s="128">
        <v>0</v>
      </c>
      <c r="W52" s="128">
        <v>0.59</v>
      </c>
      <c r="X52" s="128">
        <v>0.05</v>
      </c>
      <c r="Y52" s="128">
        <v>0.02</v>
      </c>
      <c r="Z52" s="128">
        <v>14.24</v>
      </c>
    </row>
    <row r="53" spans="1:26" x14ac:dyDescent="0.2">
      <c r="A53" s="634">
        <v>302</v>
      </c>
      <c r="B53" s="128" t="s">
        <v>935</v>
      </c>
      <c r="C53" s="128">
        <v>27</v>
      </c>
      <c r="D53" s="128" t="s">
        <v>216</v>
      </c>
      <c r="E53" s="128">
        <v>3</v>
      </c>
      <c r="F53" s="128" t="s">
        <v>233</v>
      </c>
      <c r="G53" s="128">
        <v>30</v>
      </c>
      <c r="H53" s="128">
        <v>31</v>
      </c>
      <c r="I53" s="633">
        <v>370.7</v>
      </c>
      <c r="J53" s="128">
        <v>370.7</v>
      </c>
      <c r="K53" s="128">
        <v>0.06</v>
      </c>
      <c r="L53" s="128">
        <v>0.04</v>
      </c>
      <c r="M53" s="128">
        <v>0</v>
      </c>
      <c r="N53" s="128">
        <v>0</v>
      </c>
      <c r="O53" s="128">
        <v>0</v>
      </c>
      <c r="P53" s="128">
        <v>0</v>
      </c>
      <c r="Q53" s="128">
        <v>0.15</v>
      </c>
      <c r="R53" s="128">
        <v>0.03</v>
      </c>
      <c r="S53" s="128">
        <v>0.02</v>
      </c>
      <c r="T53" s="128">
        <v>0.01</v>
      </c>
      <c r="U53" s="128">
        <v>0.01</v>
      </c>
      <c r="V53" s="128">
        <v>0</v>
      </c>
      <c r="W53" s="128">
        <v>0.59</v>
      </c>
      <c r="X53" s="128">
        <v>0.06</v>
      </c>
      <c r="Y53" s="128">
        <v>0.03</v>
      </c>
      <c r="Z53" s="128">
        <v>14.51</v>
      </c>
    </row>
    <row r="54" spans="1:26" x14ac:dyDescent="0.2">
      <c r="A54" s="634">
        <v>302</v>
      </c>
      <c r="B54" s="128" t="s">
        <v>935</v>
      </c>
      <c r="C54" s="128">
        <v>27</v>
      </c>
      <c r="D54" s="128" t="s">
        <v>216</v>
      </c>
      <c r="E54" s="128">
        <v>3</v>
      </c>
      <c r="F54" s="128" t="s">
        <v>233</v>
      </c>
      <c r="G54" s="128">
        <v>40</v>
      </c>
      <c r="H54" s="128">
        <v>42</v>
      </c>
      <c r="I54" s="633">
        <v>370.8</v>
      </c>
      <c r="J54" s="128">
        <v>370.8</v>
      </c>
      <c r="K54" s="128">
        <v>0.08</v>
      </c>
      <c r="L54" s="128">
        <v>0.04</v>
      </c>
      <c r="M54" s="128">
        <v>0</v>
      </c>
      <c r="N54" s="128">
        <v>0</v>
      </c>
      <c r="O54" s="128">
        <v>0</v>
      </c>
      <c r="P54" s="128">
        <v>0</v>
      </c>
      <c r="Q54" s="128">
        <v>0.12</v>
      </c>
      <c r="R54" s="128">
        <v>0.04</v>
      </c>
      <c r="S54" s="128">
        <v>0.02</v>
      </c>
      <c r="T54" s="128">
        <v>0.01</v>
      </c>
      <c r="U54" s="128">
        <v>0</v>
      </c>
      <c r="V54" s="128">
        <v>0</v>
      </c>
      <c r="W54" s="128">
        <v>0.61</v>
      </c>
      <c r="X54" s="128">
        <v>0.05</v>
      </c>
      <c r="Y54" s="128">
        <v>0.02</v>
      </c>
      <c r="Z54" s="128">
        <v>15.19</v>
      </c>
    </row>
    <row r="55" spans="1:26" x14ac:dyDescent="0.2">
      <c r="A55" s="634">
        <v>302</v>
      </c>
      <c r="B55" s="128" t="s">
        <v>935</v>
      </c>
      <c r="C55" s="128">
        <v>27</v>
      </c>
      <c r="D55" s="128" t="s">
        <v>216</v>
      </c>
      <c r="E55" s="128">
        <v>3</v>
      </c>
      <c r="F55" s="128" t="s">
        <v>233</v>
      </c>
      <c r="G55" s="128">
        <v>50</v>
      </c>
      <c r="H55" s="128">
        <v>51</v>
      </c>
      <c r="I55" s="633">
        <v>370.9</v>
      </c>
      <c r="J55" s="128">
        <v>370.9</v>
      </c>
      <c r="K55" s="128">
        <v>7.0000000000000007E-2</v>
      </c>
      <c r="L55" s="128">
        <v>7.0000000000000007E-2</v>
      </c>
      <c r="M55" s="128">
        <v>0</v>
      </c>
      <c r="N55" s="128">
        <v>0</v>
      </c>
      <c r="O55" s="128">
        <v>0</v>
      </c>
      <c r="P55" s="128">
        <v>0</v>
      </c>
      <c r="Q55" s="128">
        <v>0.15</v>
      </c>
      <c r="R55" s="128">
        <v>0.03</v>
      </c>
      <c r="S55" s="128">
        <v>0.02</v>
      </c>
      <c r="T55" s="128">
        <v>0.01</v>
      </c>
      <c r="U55" s="128">
        <v>0</v>
      </c>
      <c r="V55" s="128">
        <v>0</v>
      </c>
      <c r="W55" s="128">
        <v>0.56999999999999995</v>
      </c>
      <c r="X55" s="128">
        <v>0.05</v>
      </c>
      <c r="Y55" s="128">
        <v>0.03</v>
      </c>
      <c r="Z55" s="128">
        <v>14.28</v>
      </c>
    </row>
    <row r="56" spans="1:26" x14ac:dyDescent="0.2">
      <c r="A56" s="634">
        <v>302</v>
      </c>
      <c r="B56" s="128" t="s">
        <v>935</v>
      </c>
      <c r="C56" s="128">
        <v>27</v>
      </c>
      <c r="D56" s="128" t="s">
        <v>216</v>
      </c>
      <c r="E56" s="128">
        <v>3</v>
      </c>
      <c r="F56" s="128" t="s">
        <v>233</v>
      </c>
      <c r="G56" s="128">
        <v>60</v>
      </c>
      <c r="H56" s="128">
        <v>61</v>
      </c>
      <c r="I56" s="633">
        <v>371</v>
      </c>
      <c r="J56" s="128">
        <v>371</v>
      </c>
      <c r="K56" s="128">
        <v>7.0000000000000007E-2</v>
      </c>
      <c r="L56" s="128">
        <v>7.0000000000000007E-2</v>
      </c>
      <c r="M56" s="128">
        <v>0</v>
      </c>
      <c r="N56" s="128">
        <v>0</v>
      </c>
      <c r="O56" s="128">
        <v>0</v>
      </c>
      <c r="P56" s="128">
        <v>0</v>
      </c>
      <c r="Q56" s="128">
        <v>0.2</v>
      </c>
      <c r="R56" s="128">
        <v>0.04</v>
      </c>
      <c r="S56" s="128">
        <v>0</v>
      </c>
      <c r="T56" s="128">
        <v>0</v>
      </c>
      <c r="U56" s="128">
        <v>0</v>
      </c>
      <c r="V56" s="128">
        <v>0</v>
      </c>
      <c r="W56" s="128">
        <v>0.63</v>
      </c>
      <c r="X56" s="128">
        <v>0</v>
      </c>
      <c r="Y56" s="128">
        <v>0</v>
      </c>
      <c r="Z56" s="128">
        <v>13.46</v>
      </c>
    </row>
    <row r="57" spans="1:26" x14ac:dyDescent="0.2">
      <c r="A57" s="634">
        <v>302</v>
      </c>
      <c r="B57" s="128" t="s">
        <v>935</v>
      </c>
      <c r="C57" s="128">
        <v>27</v>
      </c>
      <c r="D57" s="128" t="s">
        <v>216</v>
      </c>
      <c r="E57" s="128">
        <v>3</v>
      </c>
      <c r="F57" s="128" t="s">
        <v>233</v>
      </c>
      <c r="G57" s="128">
        <v>80</v>
      </c>
      <c r="H57" s="128">
        <v>81</v>
      </c>
      <c r="I57" s="633">
        <v>371.2</v>
      </c>
      <c r="J57" s="128">
        <v>371.2</v>
      </c>
      <c r="K57" s="128">
        <v>0.03</v>
      </c>
      <c r="L57" s="128">
        <v>0.03</v>
      </c>
      <c r="M57" s="128">
        <v>0</v>
      </c>
      <c r="N57" s="128">
        <v>0</v>
      </c>
      <c r="O57" s="128">
        <v>0</v>
      </c>
      <c r="P57" s="128">
        <v>0</v>
      </c>
      <c r="Q57" s="128">
        <v>0.13</v>
      </c>
      <c r="R57" s="128">
        <v>0.02</v>
      </c>
      <c r="S57" s="128">
        <v>0.01</v>
      </c>
      <c r="T57" s="128">
        <v>0.01</v>
      </c>
      <c r="U57" s="128">
        <v>0</v>
      </c>
      <c r="V57" s="128">
        <v>0</v>
      </c>
      <c r="W57" s="128">
        <v>0.7</v>
      </c>
      <c r="X57" s="128">
        <v>0.05</v>
      </c>
      <c r="Y57" s="128">
        <v>0.03</v>
      </c>
      <c r="Z57" s="128">
        <v>17.190000000000001</v>
      </c>
    </row>
    <row r="58" spans="1:26" x14ac:dyDescent="0.2">
      <c r="A58" s="634">
        <v>302</v>
      </c>
      <c r="B58" s="128" t="s">
        <v>935</v>
      </c>
      <c r="C58" s="128">
        <v>27</v>
      </c>
      <c r="D58" s="128" t="s">
        <v>216</v>
      </c>
      <c r="E58" s="128">
        <v>3</v>
      </c>
      <c r="F58" s="128" t="s">
        <v>233</v>
      </c>
      <c r="G58" s="128">
        <v>90</v>
      </c>
      <c r="H58" s="128">
        <v>91</v>
      </c>
      <c r="I58" s="633">
        <v>371.3</v>
      </c>
      <c r="J58" s="128">
        <v>371.3</v>
      </c>
      <c r="K58" s="128">
        <v>0.04</v>
      </c>
      <c r="L58" s="128">
        <v>0.05</v>
      </c>
      <c r="M58" s="128">
        <v>0</v>
      </c>
      <c r="N58" s="128">
        <v>0</v>
      </c>
      <c r="O58" s="128">
        <v>0</v>
      </c>
      <c r="P58" s="128">
        <v>0</v>
      </c>
      <c r="Q58" s="128">
        <v>0.16</v>
      </c>
      <c r="R58" s="128">
        <v>0.03</v>
      </c>
      <c r="S58" s="128">
        <v>0.01</v>
      </c>
      <c r="T58" s="128">
        <v>0</v>
      </c>
      <c r="U58" s="128">
        <v>0</v>
      </c>
      <c r="V58" s="128">
        <v>0</v>
      </c>
      <c r="W58" s="128">
        <v>0.65</v>
      </c>
      <c r="X58" s="128">
        <v>0.05</v>
      </c>
      <c r="Y58" s="128">
        <v>0.02</v>
      </c>
      <c r="Z58" s="128">
        <v>15.77</v>
      </c>
    </row>
    <row r="59" spans="1:26" x14ac:dyDescent="0.2">
      <c r="A59" s="634">
        <v>302</v>
      </c>
      <c r="B59" s="128" t="s">
        <v>935</v>
      </c>
      <c r="C59" s="128">
        <v>27</v>
      </c>
      <c r="D59" s="128" t="s">
        <v>216</v>
      </c>
      <c r="E59" s="128">
        <v>3</v>
      </c>
      <c r="F59" s="128" t="s">
        <v>233</v>
      </c>
      <c r="G59" s="128">
        <v>100</v>
      </c>
      <c r="H59" s="128">
        <v>102</v>
      </c>
      <c r="I59" s="633">
        <v>371.4</v>
      </c>
      <c r="J59" s="128">
        <v>371.4</v>
      </c>
      <c r="K59" s="128">
        <v>0.03</v>
      </c>
      <c r="L59" s="128">
        <v>0.04</v>
      </c>
      <c r="M59" s="128">
        <v>0</v>
      </c>
      <c r="N59" s="128">
        <v>0</v>
      </c>
      <c r="O59" s="128">
        <v>0</v>
      </c>
      <c r="P59" s="128">
        <v>0</v>
      </c>
      <c r="Q59" s="128">
        <v>0.15</v>
      </c>
      <c r="R59" s="128">
        <v>0.03</v>
      </c>
      <c r="S59" s="128">
        <v>0.01</v>
      </c>
      <c r="T59" s="128">
        <v>0</v>
      </c>
      <c r="U59" s="128">
        <v>0</v>
      </c>
      <c r="V59" s="128">
        <v>0</v>
      </c>
      <c r="W59" s="128">
        <v>0.68</v>
      </c>
      <c r="X59" s="128">
        <v>0.04</v>
      </c>
      <c r="Y59" s="128">
        <v>0.02</v>
      </c>
      <c r="Z59" s="128">
        <v>16.43</v>
      </c>
    </row>
    <row r="60" spans="1:26" x14ac:dyDescent="0.2">
      <c r="A60" s="634">
        <v>302</v>
      </c>
      <c r="B60" s="128" t="s">
        <v>935</v>
      </c>
      <c r="C60" s="128">
        <v>27</v>
      </c>
      <c r="D60" s="128" t="s">
        <v>216</v>
      </c>
      <c r="E60" s="128">
        <v>3</v>
      </c>
      <c r="F60" s="128" t="s">
        <v>233</v>
      </c>
      <c r="G60" s="128">
        <v>110</v>
      </c>
      <c r="H60" s="128">
        <v>111</v>
      </c>
      <c r="I60" s="633">
        <v>371.5</v>
      </c>
      <c r="J60" s="128">
        <v>371.5</v>
      </c>
      <c r="K60" s="128">
        <v>0.03</v>
      </c>
      <c r="L60" s="128">
        <v>0.03</v>
      </c>
      <c r="M60" s="128">
        <v>0</v>
      </c>
      <c r="N60" s="128">
        <v>0</v>
      </c>
      <c r="O60" s="128">
        <v>0</v>
      </c>
      <c r="P60" s="128">
        <v>0</v>
      </c>
      <c r="Q60" s="128">
        <v>0.17</v>
      </c>
      <c r="R60" s="128">
        <v>0.02</v>
      </c>
      <c r="S60" s="128">
        <v>0.01</v>
      </c>
      <c r="T60" s="128">
        <v>0</v>
      </c>
      <c r="U60" s="128">
        <v>0</v>
      </c>
      <c r="V60" s="128">
        <v>0</v>
      </c>
      <c r="W60" s="128">
        <v>0.65</v>
      </c>
      <c r="X60" s="128">
        <v>0.05</v>
      </c>
      <c r="Y60" s="128">
        <v>0.02</v>
      </c>
      <c r="Z60" s="128">
        <v>15.45</v>
      </c>
    </row>
    <row r="61" spans="1:26" x14ac:dyDescent="0.2">
      <c r="A61" s="634">
        <v>302</v>
      </c>
      <c r="B61" s="128" t="s">
        <v>935</v>
      </c>
      <c r="C61" s="128">
        <v>27</v>
      </c>
      <c r="D61" s="128" t="s">
        <v>216</v>
      </c>
      <c r="E61" s="128">
        <v>3</v>
      </c>
      <c r="F61" s="128" t="s">
        <v>233</v>
      </c>
      <c r="G61" s="128">
        <v>120</v>
      </c>
      <c r="H61" s="128">
        <v>121</v>
      </c>
      <c r="I61" s="633">
        <v>371.6</v>
      </c>
      <c r="J61" s="128">
        <v>371.6</v>
      </c>
      <c r="K61" s="128">
        <v>0.03</v>
      </c>
      <c r="L61" s="128">
        <v>0.03</v>
      </c>
      <c r="M61" s="128">
        <v>0</v>
      </c>
      <c r="N61" s="128">
        <v>0</v>
      </c>
      <c r="O61" s="128">
        <v>0</v>
      </c>
      <c r="P61" s="128">
        <v>0</v>
      </c>
      <c r="Q61" s="128">
        <v>0.15</v>
      </c>
      <c r="R61" s="128">
        <v>0.02</v>
      </c>
      <c r="S61" s="128">
        <v>0.01</v>
      </c>
      <c r="T61" s="128">
        <v>0</v>
      </c>
      <c r="U61" s="128">
        <v>0</v>
      </c>
      <c r="V61" s="128">
        <v>0</v>
      </c>
      <c r="W61" s="128">
        <v>0.67</v>
      </c>
      <c r="X61" s="128">
        <v>0.05</v>
      </c>
      <c r="Y61" s="128">
        <v>0.02</v>
      </c>
      <c r="Z61" s="128">
        <v>16.04</v>
      </c>
    </row>
    <row r="62" spans="1:26" x14ac:dyDescent="0.2">
      <c r="A62" s="634">
        <v>302</v>
      </c>
      <c r="B62" s="128" t="s">
        <v>935</v>
      </c>
      <c r="C62" s="128">
        <v>27</v>
      </c>
      <c r="D62" s="128" t="s">
        <v>216</v>
      </c>
      <c r="E62" s="128">
        <v>3</v>
      </c>
      <c r="F62" s="128" t="s">
        <v>233</v>
      </c>
      <c r="G62" s="128">
        <v>130</v>
      </c>
      <c r="H62" s="128">
        <v>132</v>
      </c>
      <c r="I62" s="633">
        <v>371.7</v>
      </c>
      <c r="J62" s="128">
        <v>371.7</v>
      </c>
      <c r="K62" s="128">
        <v>0.04</v>
      </c>
      <c r="L62" s="128">
        <v>0.04</v>
      </c>
      <c r="M62" s="128">
        <v>0</v>
      </c>
      <c r="N62" s="128">
        <v>0</v>
      </c>
      <c r="O62" s="128">
        <v>0</v>
      </c>
      <c r="P62" s="128">
        <v>0</v>
      </c>
      <c r="Q62" s="128">
        <v>0.17</v>
      </c>
      <c r="R62" s="128">
        <v>0.03</v>
      </c>
      <c r="S62" s="128">
        <v>0.01</v>
      </c>
      <c r="T62" s="128">
        <v>0</v>
      </c>
      <c r="U62" s="128">
        <v>0</v>
      </c>
      <c r="V62" s="128">
        <v>0</v>
      </c>
      <c r="W62" s="128">
        <v>0.64</v>
      </c>
      <c r="X62" s="128">
        <v>0.05</v>
      </c>
      <c r="Y62" s="128">
        <v>0.02</v>
      </c>
      <c r="Z62" s="128">
        <v>15.35</v>
      </c>
    </row>
    <row r="63" spans="1:26" x14ac:dyDescent="0.2">
      <c r="A63" s="634">
        <v>302</v>
      </c>
      <c r="B63" s="128" t="s">
        <v>935</v>
      </c>
      <c r="C63" s="128">
        <v>27</v>
      </c>
      <c r="D63" s="128" t="s">
        <v>216</v>
      </c>
      <c r="E63" s="128">
        <v>3</v>
      </c>
      <c r="F63" s="128" t="s">
        <v>233</v>
      </c>
      <c r="G63" s="128">
        <v>138</v>
      </c>
      <c r="H63" s="128">
        <v>139</v>
      </c>
      <c r="I63" s="633">
        <v>371.78</v>
      </c>
      <c r="J63" s="128">
        <v>371.78</v>
      </c>
      <c r="K63" s="128">
        <v>0.05</v>
      </c>
      <c r="L63" s="128">
        <v>0.03</v>
      </c>
      <c r="M63" s="128">
        <v>0</v>
      </c>
      <c r="N63" s="128">
        <v>0</v>
      </c>
      <c r="O63" s="128">
        <v>0</v>
      </c>
      <c r="P63" s="128">
        <v>0</v>
      </c>
      <c r="Q63" s="128">
        <v>0.19</v>
      </c>
      <c r="R63" s="128">
        <v>0.03</v>
      </c>
      <c r="S63" s="128">
        <v>0.01</v>
      </c>
      <c r="T63" s="128">
        <v>0</v>
      </c>
      <c r="U63" s="128">
        <v>0</v>
      </c>
      <c r="V63" s="128">
        <v>0</v>
      </c>
      <c r="W63" s="128">
        <v>0.62</v>
      </c>
      <c r="X63" s="128">
        <v>0.05</v>
      </c>
      <c r="Y63" s="128">
        <v>0.02</v>
      </c>
      <c r="Z63" s="128">
        <v>14.48</v>
      </c>
    </row>
    <row r="64" spans="1:26" x14ac:dyDescent="0.2">
      <c r="A64" s="634">
        <v>302</v>
      </c>
      <c r="B64" s="128" t="s">
        <v>935</v>
      </c>
      <c r="C64" s="128">
        <v>27</v>
      </c>
      <c r="D64" s="128" t="s">
        <v>216</v>
      </c>
      <c r="E64" s="128">
        <v>3</v>
      </c>
      <c r="F64" s="128" t="s">
        <v>233</v>
      </c>
      <c r="G64" s="128">
        <v>150</v>
      </c>
      <c r="H64" s="128">
        <v>151</v>
      </c>
      <c r="I64" s="633">
        <v>371.9</v>
      </c>
      <c r="J64" s="128">
        <v>371.9</v>
      </c>
      <c r="K64" s="128">
        <v>0.04</v>
      </c>
      <c r="L64" s="128">
        <v>0.04</v>
      </c>
      <c r="M64" s="128">
        <v>0</v>
      </c>
      <c r="N64" s="128">
        <v>0</v>
      </c>
      <c r="O64" s="128">
        <v>0</v>
      </c>
      <c r="P64" s="128">
        <v>0</v>
      </c>
      <c r="Q64" s="128">
        <v>0.18</v>
      </c>
      <c r="R64" s="128">
        <v>0.03</v>
      </c>
      <c r="S64" s="128">
        <v>0</v>
      </c>
      <c r="T64" s="128">
        <v>0</v>
      </c>
      <c r="U64" s="128">
        <v>0</v>
      </c>
      <c r="V64" s="128">
        <v>0</v>
      </c>
      <c r="W64" s="128">
        <v>0.71</v>
      </c>
      <c r="X64" s="128">
        <v>0</v>
      </c>
      <c r="Y64" s="128">
        <v>0</v>
      </c>
      <c r="Z64" s="128">
        <v>15.34</v>
      </c>
    </row>
    <row r="65" spans="1:26" x14ac:dyDescent="0.2">
      <c r="A65" s="634">
        <v>302</v>
      </c>
      <c r="B65" s="128" t="s">
        <v>935</v>
      </c>
      <c r="C65" s="128">
        <v>27</v>
      </c>
      <c r="D65" s="128" t="s">
        <v>216</v>
      </c>
      <c r="E65" s="128">
        <v>4</v>
      </c>
      <c r="F65" s="128" t="s">
        <v>233</v>
      </c>
      <c r="G65" s="128">
        <v>0</v>
      </c>
      <c r="H65" s="128">
        <v>1</v>
      </c>
      <c r="I65" s="633">
        <v>371.93</v>
      </c>
      <c r="J65" s="128">
        <v>371.93</v>
      </c>
      <c r="K65" s="128">
        <v>0.04</v>
      </c>
      <c r="L65" s="128">
        <v>0.03</v>
      </c>
      <c r="M65" s="128">
        <v>0</v>
      </c>
      <c r="N65" s="128">
        <v>0</v>
      </c>
      <c r="O65" s="128">
        <v>0</v>
      </c>
      <c r="P65" s="128">
        <v>0</v>
      </c>
      <c r="Q65" s="128">
        <v>0.16</v>
      </c>
      <c r="R65" s="128">
        <v>0.06</v>
      </c>
      <c r="S65" s="128">
        <v>0.01</v>
      </c>
      <c r="T65" s="128">
        <v>0</v>
      </c>
      <c r="U65" s="128">
        <v>0</v>
      </c>
      <c r="V65" s="128">
        <v>0</v>
      </c>
      <c r="W65" s="128">
        <v>0.62</v>
      </c>
      <c r="X65" s="128">
        <v>0.04</v>
      </c>
      <c r="Y65" s="128">
        <v>0.02</v>
      </c>
      <c r="Z65" s="128">
        <v>15.44</v>
      </c>
    </row>
    <row r="66" spans="1:26" x14ac:dyDescent="0.2">
      <c r="A66" s="634">
        <v>302</v>
      </c>
      <c r="B66" s="128" t="s">
        <v>935</v>
      </c>
      <c r="C66" s="128">
        <v>27</v>
      </c>
      <c r="D66" s="128" t="s">
        <v>216</v>
      </c>
      <c r="E66" s="128">
        <v>4</v>
      </c>
      <c r="F66" s="128" t="s">
        <v>233</v>
      </c>
      <c r="G66" s="128">
        <v>10</v>
      </c>
      <c r="H66" s="128">
        <v>12</v>
      </c>
      <c r="I66" s="633">
        <v>372.03</v>
      </c>
      <c r="J66" s="128">
        <v>372.03</v>
      </c>
      <c r="K66" s="128">
        <v>0.04</v>
      </c>
      <c r="L66" s="128">
        <v>0.03</v>
      </c>
      <c r="M66" s="128">
        <v>0</v>
      </c>
      <c r="N66" s="128">
        <v>0</v>
      </c>
      <c r="O66" s="128">
        <v>0</v>
      </c>
      <c r="P66" s="128">
        <v>0</v>
      </c>
      <c r="Q66" s="128">
        <v>0.17</v>
      </c>
      <c r="R66" s="128">
        <v>0.02</v>
      </c>
      <c r="S66" s="128">
        <v>0.01</v>
      </c>
      <c r="T66" s="128">
        <v>0</v>
      </c>
      <c r="U66" s="128">
        <v>0</v>
      </c>
      <c r="V66" s="128">
        <v>0</v>
      </c>
      <c r="W66" s="128">
        <v>0.64</v>
      </c>
      <c r="X66" s="128">
        <v>0.06</v>
      </c>
      <c r="Y66" s="128">
        <v>0.03</v>
      </c>
      <c r="Z66" s="128">
        <v>15.43</v>
      </c>
    </row>
    <row r="67" spans="1:26" x14ac:dyDescent="0.2">
      <c r="A67" s="634">
        <v>302</v>
      </c>
      <c r="B67" s="128" t="s">
        <v>935</v>
      </c>
      <c r="C67" s="128">
        <v>27</v>
      </c>
      <c r="D67" s="128" t="s">
        <v>216</v>
      </c>
      <c r="E67" s="128">
        <v>4</v>
      </c>
      <c r="F67" s="128" t="s">
        <v>233</v>
      </c>
      <c r="G67" s="128">
        <v>16</v>
      </c>
      <c r="H67" s="128">
        <v>17</v>
      </c>
      <c r="I67" s="633">
        <v>372.09</v>
      </c>
      <c r="J67" s="128">
        <v>372.09</v>
      </c>
      <c r="K67" s="128">
        <v>0.04</v>
      </c>
      <c r="L67" s="128">
        <v>0.04</v>
      </c>
      <c r="M67" s="128">
        <v>0</v>
      </c>
      <c r="N67" s="128">
        <v>0</v>
      </c>
      <c r="O67" s="128">
        <v>0</v>
      </c>
      <c r="P67" s="128">
        <v>0</v>
      </c>
      <c r="Q67" s="128">
        <v>0.17</v>
      </c>
      <c r="R67" s="128">
        <v>0.03</v>
      </c>
      <c r="S67" s="128">
        <v>0.01</v>
      </c>
      <c r="T67" s="128">
        <v>0.01</v>
      </c>
      <c r="U67" s="128">
        <v>0</v>
      </c>
      <c r="V67" s="128">
        <v>0</v>
      </c>
      <c r="W67" s="128">
        <v>0.64</v>
      </c>
      <c r="X67" s="128">
        <v>0.05</v>
      </c>
      <c r="Y67" s="128">
        <v>0.02</v>
      </c>
      <c r="Z67" s="128">
        <v>15.35</v>
      </c>
    </row>
    <row r="68" spans="1:26" x14ac:dyDescent="0.2">
      <c r="A68" s="634">
        <v>302</v>
      </c>
      <c r="B68" s="128" t="s">
        <v>935</v>
      </c>
      <c r="C68" s="128">
        <v>27</v>
      </c>
      <c r="D68" s="128" t="s">
        <v>216</v>
      </c>
      <c r="E68" s="128">
        <v>4</v>
      </c>
      <c r="F68" s="128" t="s">
        <v>233</v>
      </c>
      <c r="G68" s="128">
        <v>22</v>
      </c>
      <c r="H68" s="128">
        <v>23</v>
      </c>
      <c r="I68" s="633">
        <v>372.15</v>
      </c>
      <c r="J68" s="128">
        <v>372.15</v>
      </c>
      <c r="K68" s="128">
        <v>0.03</v>
      </c>
      <c r="L68" s="128">
        <v>0.04</v>
      </c>
      <c r="M68" s="128">
        <v>0</v>
      </c>
      <c r="N68" s="128">
        <v>0</v>
      </c>
      <c r="O68" s="128">
        <v>0</v>
      </c>
      <c r="P68" s="128">
        <v>0</v>
      </c>
      <c r="Q68" s="128">
        <v>0.13</v>
      </c>
      <c r="R68" s="128">
        <v>0.03</v>
      </c>
      <c r="S68" s="128">
        <v>0.01</v>
      </c>
      <c r="T68" s="128">
        <v>0</v>
      </c>
      <c r="U68" s="128">
        <v>0</v>
      </c>
      <c r="V68" s="128">
        <v>0</v>
      </c>
      <c r="W68" s="128">
        <v>0.69</v>
      </c>
      <c r="X68" s="128">
        <v>0.04</v>
      </c>
      <c r="Y68" s="128">
        <v>0.02</v>
      </c>
      <c r="Z68" s="128">
        <v>16.809999999999999</v>
      </c>
    </row>
    <row r="69" spans="1:26" x14ac:dyDescent="0.2">
      <c r="A69" s="634">
        <v>302</v>
      </c>
      <c r="B69" s="128" t="s">
        <v>935</v>
      </c>
      <c r="C69" s="128">
        <v>27</v>
      </c>
      <c r="D69" s="128" t="s">
        <v>216</v>
      </c>
      <c r="E69" s="128">
        <v>4</v>
      </c>
      <c r="F69" s="128" t="s">
        <v>233</v>
      </c>
      <c r="G69" s="128">
        <v>23</v>
      </c>
      <c r="H69" s="128">
        <v>24</v>
      </c>
      <c r="I69" s="633">
        <v>372.16</v>
      </c>
      <c r="J69" s="128">
        <v>372.16</v>
      </c>
      <c r="K69" s="128">
        <v>0.04</v>
      </c>
      <c r="L69" s="128">
        <v>0.04</v>
      </c>
      <c r="M69" s="128">
        <v>0</v>
      </c>
      <c r="N69" s="128">
        <v>0</v>
      </c>
      <c r="O69" s="128">
        <v>0</v>
      </c>
      <c r="P69" s="128">
        <v>0</v>
      </c>
      <c r="Q69" s="128">
        <v>0.17</v>
      </c>
      <c r="R69" s="128">
        <v>0.02</v>
      </c>
      <c r="S69" s="128">
        <v>0.01</v>
      </c>
      <c r="T69" s="128">
        <v>0</v>
      </c>
      <c r="U69" s="128">
        <v>0</v>
      </c>
      <c r="V69" s="128">
        <v>0</v>
      </c>
      <c r="W69" s="128">
        <v>0.63</v>
      </c>
      <c r="X69" s="128">
        <v>0.05</v>
      </c>
      <c r="Y69" s="128">
        <v>0.02</v>
      </c>
      <c r="Z69" s="128">
        <v>15.21</v>
      </c>
    </row>
    <row r="70" spans="1:26" x14ac:dyDescent="0.2">
      <c r="A70" s="634">
        <v>303</v>
      </c>
      <c r="B70" s="128" t="s">
        <v>935</v>
      </c>
      <c r="C70" s="128">
        <v>28</v>
      </c>
      <c r="D70" s="128" t="s">
        <v>936</v>
      </c>
      <c r="E70" s="128">
        <v>1</v>
      </c>
      <c r="F70" s="128" t="s">
        <v>937</v>
      </c>
      <c r="G70" s="128">
        <v>40</v>
      </c>
      <c r="I70" s="128">
        <v>372.2</v>
      </c>
      <c r="J70" s="633">
        <v>372.67</v>
      </c>
      <c r="K70" s="128">
        <v>0.05</v>
      </c>
      <c r="L70" s="128">
        <v>0.03</v>
      </c>
      <c r="M70" s="128">
        <v>0</v>
      </c>
      <c r="N70" s="128">
        <v>0</v>
      </c>
      <c r="O70" s="128">
        <v>0</v>
      </c>
      <c r="P70" s="128">
        <v>0</v>
      </c>
      <c r="Q70" s="128">
        <v>0.16</v>
      </c>
      <c r="R70" s="128">
        <v>0.02</v>
      </c>
      <c r="S70" s="128">
        <v>0.01</v>
      </c>
      <c r="T70" s="128">
        <v>0.01</v>
      </c>
      <c r="U70" s="128">
        <v>0</v>
      </c>
      <c r="V70" s="128">
        <v>0</v>
      </c>
      <c r="W70" s="128">
        <v>0.64</v>
      </c>
      <c r="X70" s="128">
        <v>0.05</v>
      </c>
      <c r="Y70" s="128">
        <v>0.02</v>
      </c>
      <c r="Z70" s="128">
        <v>15.45</v>
      </c>
    </row>
    <row r="71" spans="1:26" x14ac:dyDescent="0.2">
      <c r="A71" s="634">
        <v>302</v>
      </c>
      <c r="B71" s="128" t="s">
        <v>935</v>
      </c>
      <c r="C71" s="128">
        <v>28</v>
      </c>
      <c r="D71" s="128" t="s">
        <v>936</v>
      </c>
      <c r="E71" s="128">
        <v>1</v>
      </c>
      <c r="F71" s="128" t="s">
        <v>937</v>
      </c>
      <c r="G71" s="128">
        <v>70</v>
      </c>
      <c r="H71" s="128">
        <v>72</v>
      </c>
      <c r="I71" s="633">
        <v>372.5</v>
      </c>
      <c r="J71" s="128">
        <v>372.97</v>
      </c>
      <c r="K71" s="128">
        <v>0.04</v>
      </c>
      <c r="L71" s="128">
        <v>0.04</v>
      </c>
      <c r="M71" s="128">
        <v>0</v>
      </c>
      <c r="N71" s="128">
        <v>0</v>
      </c>
      <c r="O71" s="128">
        <v>0</v>
      </c>
      <c r="P71" s="128">
        <v>0</v>
      </c>
      <c r="Q71" s="128">
        <v>0.16</v>
      </c>
      <c r="R71" s="128">
        <v>0.02</v>
      </c>
      <c r="S71" s="128">
        <v>0.01</v>
      </c>
      <c r="T71" s="128">
        <v>0</v>
      </c>
      <c r="U71" s="128">
        <v>0</v>
      </c>
      <c r="V71" s="128">
        <v>0</v>
      </c>
      <c r="W71" s="128">
        <v>0.66</v>
      </c>
      <c r="X71" s="128">
        <v>0.05</v>
      </c>
      <c r="Y71" s="128">
        <v>0.02</v>
      </c>
      <c r="Z71" s="128">
        <v>15.77</v>
      </c>
    </row>
    <row r="72" spans="1:26" x14ac:dyDescent="0.2">
      <c r="A72" s="634">
        <v>302</v>
      </c>
      <c r="B72" s="128" t="s">
        <v>935</v>
      </c>
      <c r="C72" s="128">
        <v>28</v>
      </c>
      <c r="D72" s="128" t="s">
        <v>936</v>
      </c>
      <c r="E72" s="128">
        <v>1</v>
      </c>
      <c r="F72" s="128" t="s">
        <v>937</v>
      </c>
      <c r="G72" s="128">
        <v>98</v>
      </c>
      <c r="H72" s="128">
        <v>100</v>
      </c>
      <c r="I72" s="633">
        <v>372.78</v>
      </c>
      <c r="J72" s="128">
        <v>373.25</v>
      </c>
      <c r="K72" s="128">
        <v>0.05</v>
      </c>
      <c r="L72" s="128">
        <v>0.04</v>
      </c>
      <c r="M72" s="128">
        <v>0</v>
      </c>
      <c r="N72" s="128">
        <v>0</v>
      </c>
      <c r="O72" s="128">
        <v>0</v>
      </c>
      <c r="P72" s="128">
        <v>0</v>
      </c>
      <c r="Q72" s="128">
        <v>0.17</v>
      </c>
      <c r="R72" s="128">
        <v>0.03</v>
      </c>
      <c r="S72" s="128">
        <v>0.02</v>
      </c>
      <c r="T72" s="128">
        <v>0</v>
      </c>
      <c r="U72" s="128">
        <v>0</v>
      </c>
      <c r="V72" s="128">
        <v>0</v>
      </c>
      <c r="W72" s="128">
        <v>0.62</v>
      </c>
      <c r="X72" s="128">
        <v>0.05</v>
      </c>
      <c r="Y72" s="128">
        <v>0.02</v>
      </c>
      <c r="Z72" s="128">
        <v>14.94</v>
      </c>
    </row>
    <row r="73" spans="1:26" x14ac:dyDescent="0.2">
      <c r="A73" s="634">
        <v>302</v>
      </c>
      <c r="B73" s="128" t="s">
        <v>935</v>
      </c>
      <c r="C73" s="128">
        <v>28</v>
      </c>
      <c r="D73" s="128" t="s">
        <v>936</v>
      </c>
      <c r="E73" s="128">
        <v>2</v>
      </c>
      <c r="F73" s="128" t="s">
        <v>937</v>
      </c>
      <c r="G73" s="128">
        <v>10</v>
      </c>
      <c r="H73" s="128">
        <v>12</v>
      </c>
      <c r="I73" s="633">
        <v>373.4</v>
      </c>
      <c r="J73" s="128">
        <v>373.87</v>
      </c>
      <c r="K73" s="128">
        <v>0.04</v>
      </c>
      <c r="L73" s="128">
        <v>0.04</v>
      </c>
      <c r="M73" s="128">
        <v>0</v>
      </c>
      <c r="N73" s="128">
        <v>0</v>
      </c>
      <c r="O73" s="128">
        <v>0</v>
      </c>
      <c r="P73" s="128">
        <v>0</v>
      </c>
      <c r="Q73" s="128">
        <v>0.17</v>
      </c>
      <c r="R73" s="128">
        <v>0.02</v>
      </c>
      <c r="S73" s="128">
        <v>0.02</v>
      </c>
      <c r="T73" s="128">
        <v>0</v>
      </c>
      <c r="U73" s="128">
        <v>0</v>
      </c>
      <c r="V73" s="128">
        <v>0</v>
      </c>
      <c r="W73" s="128">
        <v>0.63</v>
      </c>
      <c r="X73" s="128">
        <v>0.06</v>
      </c>
      <c r="Y73" s="128">
        <v>0.03</v>
      </c>
      <c r="Z73" s="128">
        <v>15.11</v>
      </c>
    </row>
    <row r="74" spans="1:26" x14ac:dyDescent="0.2">
      <c r="A74" s="634">
        <v>302</v>
      </c>
      <c r="B74" s="128" t="s">
        <v>935</v>
      </c>
      <c r="C74" s="128">
        <v>28</v>
      </c>
      <c r="D74" s="128" t="s">
        <v>936</v>
      </c>
      <c r="E74" s="128">
        <v>2</v>
      </c>
      <c r="F74" s="128" t="s">
        <v>937</v>
      </c>
      <c r="G74" s="128">
        <v>40</v>
      </c>
      <c r="H74" s="128">
        <v>42</v>
      </c>
      <c r="I74" s="633">
        <v>373.7</v>
      </c>
      <c r="J74" s="128">
        <v>374.17</v>
      </c>
      <c r="K74" s="128">
        <v>0.04</v>
      </c>
      <c r="L74" s="128">
        <v>0.04</v>
      </c>
      <c r="M74" s="128">
        <v>0</v>
      </c>
      <c r="N74" s="128">
        <v>0</v>
      </c>
      <c r="O74" s="128">
        <v>0</v>
      </c>
      <c r="P74" s="128">
        <v>0</v>
      </c>
      <c r="Q74" s="128">
        <v>0.17</v>
      </c>
      <c r="R74" s="128">
        <v>0.02</v>
      </c>
      <c r="S74" s="128">
        <v>0.01</v>
      </c>
      <c r="T74" s="128">
        <v>0</v>
      </c>
      <c r="U74" s="128">
        <v>0</v>
      </c>
      <c r="V74" s="128">
        <v>0</v>
      </c>
      <c r="W74" s="128">
        <v>0.67</v>
      </c>
      <c r="X74" s="128">
        <v>0.05</v>
      </c>
      <c r="Y74" s="128">
        <v>0</v>
      </c>
      <c r="Z74" s="128">
        <v>15.51</v>
      </c>
    </row>
    <row r="75" spans="1:26" x14ac:dyDescent="0.2">
      <c r="A75" s="634">
        <v>302</v>
      </c>
      <c r="B75" s="128" t="s">
        <v>935</v>
      </c>
      <c r="C75" s="128">
        <v>28</v>
      </c>
      <c r="D75" s="128" t="s">
        <v>936</v>
      </c>
      <c r="E75" s="128">
        <v>2</v>
      </c>
      <c r="F75" s="128" t="s">
        <v>937</v>
      </c>
      <c r="G75" s="128">
        <v>100</v>
      </c>
      <c r="H75" s="128">
        <v>102</v>
      </c>
      <c r="I75" s="633">
        <v>374.3</v>
      </c>
      <c r="J75" s="128">
        <v>374.77</v>
      </c>
      <c r="K75" s="128">
        <v>0.05</v>
      </c>
      <c r="L75" s="128">
        <v>0.04</v>
      </c>
      <c r="M75" s="128">
        <v>0</v>
      </c>
      <c r="N75" s="128">
        <v>0</v>
      </c>
      <c r="O75" s="128">
        <v>0</v>
      </c>
      <c r="P75" s="128">
        <v>0</v>
      </c>
      <c r="Q75" s="128">
        <v>0.2</v>
      </c>
      <c r="R75" s="128">
        <v>0.03</v>
      </c>
      <c r="S75" s="128">
        <v>0.01</v>
      </c>
      <c r="T75" s="128">
        <v>0.01</v>
      </c>
      <c r="U75" s="128">
        <v>0</v>
      </c>
      <c r="V75" s="128">
        <v>0</v>
      </c>
      <c r="W75" s="128">
        <v>0.59</v>
      </c>
      <c r="X75" s="128">
        <v>0.05</v>
      </c>
      <c r="Y75" s="128">
        <v>0.02</v>
      </c>
      <c r="Z75" s="128">
        <v>13.84</v>
      </c>
    </row>
    <row r="76" spans="1:26" x14ac:dyDescent="0.2">
      <c r="A76" s="634">
        <v>302</v>
      </c>
      <c r="B76" s="128" t="s">
        <v>935</v>
      </c>
      <c r="C76" s="128">
        <v>28</v>
      </c>
      <c r="D76" s="128" t="s">
        <v>936</v>
      </c>
      <c r="E76" s="128">
        <v>2</v>
      </c>
      <c r="F76" s="128" t="s">
        <v>937</v>
      </c>
      <c r="G76" s="128">
        <v>130</v>
      </c>
      <c r="H76" s="128">
        <v>132</v>
      </c>
      <c r="I76" s="633">
        <v>374.6</v>
      </c>
      <c r="J76" s="128">
        <v>375.07</v>
      </c>
      <c r="K76" s="128">
        <v>0.04</v>
      </c>
      <c r="L76" s="128">
        <v>0.03</v>
      </c>
      <c r="M76" s="128">
        <v>0</v>
      </c>
      <c r="N76" s="128">
        <v>0</v>
      </c>
      <c r="O76" s="128">
        <v>0</v>
      </c>
      <c r="P76" s="128">
        <v>0</v>
      </c>
      <c r="Q76" s="128">
        <v>0.18</v>
      </c>
      <c r="R76" s="128">
        <v>0.02</v>
      </c>
      <c r="S76" s="128">
        <v>0.01</v>
      </c>
      <c r="T76" s="128">
        <v>0</v>
      </c>
      <c r="U76" s="128">
        <v>0</v>
      </c>
      <c r="V76" s="128">
        <v>0</v>
      </c>
      <c r="W76" s="128">
        <v>0.64</v>
      </c>
      <c r="X76" s="128">
        <v>0.05</v>
      </c>
      <c r="Y76" s="128">
        <v>0.02</v>
      </c>
      <c r="Z76" s="128">
        <v>15.09</v>
      </c>
    </row>
    <row r="77" spans="1:26" x14ac:dyDescent="0.2">
      <c r="A77" s="634">
        <v>302</v>
      </c>
      <c r="B77" s="128" t="s">
        <v>935</v>
      </c>
      <c r="C77" s="128">
        <v>28</v>
      </c>
      <c r="D77" s="128" t="s">
        <v>936</v>
      </c>
      <c r="E77" s="128">
        <v>3</v>
      </c>
      <c r="F77" s="128" t="s">
        <v>937</v>
      </c>
      <c r="G77" s="128">
        <v>40</v>
      </c>
      <c r="H77" s="128">
        <v>42</v>
      </c>
      <c r="I77" s="633">
        <v>375.23</v>
      </c>
      <c r="J77" s="128">
        <v>375.7</v>
      </c>
      <c r="K77" s="128">
        <v>0.05</v>
      </c>
      <c r="L77" s="128">
        <v>0.03</v>
      </c>
      <c r="M77" s="128">
        <v>0</v>
      </c>
      <c r="N77" s="128">
        <v>0</v>
      </c>
      <c r="O77" s="128">
        <v>0</v>
      </c>
      <c r="P77" s="128">
        <v>0</v>
      </c>
      <c r="Q77" s="128">
        <v>0.18</v>
      </c>
      <c r="R77" s="128">
        <v>0.03</v>
      </c>
      <c r="S77" s="128">
        <v>0.02</v>
      </c>
      <c r="T77" s="128">
        <v>0.01</v>
      </c>
      <c r="U77" s="128">
        <v>0</v>
      </c>
      <c r="V77" s="128">
        <v>0</v>
      </c>
      <c r="W77" s="128">
        <v>0.61</v>
      </c>
      <c r="X77" s="128">
        <v>0.05</v>
      </c>
      <c r="Y77" s="128">
        <v>0.03</v>
      </c>
      <c r="Z77" s="128">
        <v>14.55</v>
      </c>
    </row>
    <row r="78" spans="1:26" x14ac:dyDescent="0.2">
      <c r="A78" s="634">
        <v>302</v>
      </c>
      <c r="B78" s="128" t="s">
        <v>935</v>
      </c>
      <c r="C78" s="128">
        <v>28</v>
      </c>
      <c r="D78" s="128" t="s">
        <v>936</v>
      </c>
      <c r="E78" s="128">
        <v>3</v>
      </c>
      <c r="F78" s="128" t="s">
        <v>937</v>
      </c>
      <c r="G78" s="128">
        <v>70</v>
      </c>
      <c r="H78" s="128">
        <v>72</v>
      </c>
      <c r="I78" s="633">
        <v>375.53</v>
      </c>
      <c r="J78" s="128">
        <v>376</v>
      </c>
      <c r="K78" s="128">
        <v>0.05</v>
      </c>
      <c r="L78" s="128">
        <v>0.03</v>
      </c>
      <c r="M78" s="128">
        <v>0</v>
      </c>
      <c r="N78" s="128">
        <v>0</v>
      </c>
      <c r="O78" s="128">
        <v>0</v>
      </c>
      <c r="P78" s="128">
        <v>0</v>
      </c>
      <c r="Q78" s="128">
        <v>0.19</v>
      </c>
      <c r="R78" s="128">
        <v>0.03</v>
      </c>
      <c r="S78" s="128">
        <v>0.01</v>
      </c>
      <c r="T78" s="128">
        <v>0</v>
      </c>
      <c r="U78" s="128">
        <v>0</v>
      </c>
      <c r="V78" s="128">
        <v>0</v>
      </c>
      <c r="W78" s="128">
        <v>0.6</v>
      </c>
      <c r="X78" s="128">
        <v>0.05</v>
      </c>
      <c r="Y78" s="128">
        <v>0.02</v>
      </c>
      <c r="Z78" s="128">
        <v>14.22</v>
      </c>
    </row>
    <row r="79" spans="1:26" x14ac:dyDescent="0.2">
      <c r="A79" s="634">
        <v>302</v>
      </c>
      <c r="B79" s="128" t="s">
        <v>935</v>
      </c>
      <c r="C79" s="128">
        <v>28</v>
      </c>
      <c r="D79" s="128" t="s">
        <v>936</v>
      </c>
      <c r="E79" s="128">
        <v>3</v>
      </c>
      <c r="F79" s="128" t="s">
        <v>937</v>
      </c>
      <c r="G79" s="128">
        <v>100</v>
      </c>
      <c r="H79" s="128">
        <v>102</v>
      </c>
      <c r="I79" s="633">
        <v>375.83</v>
      </c>
      <c r="J79" s="128">
        <v>376.3</v>
      </c>
      <c r="K79" s="128">
        <v>0.05</v>
      </c>
      <c r="L79" s="128">
        <v>0.04</v>
      </c>
      <c r="M79" s="128">
        <v>0</v>
      </c>
      <c r="N79" s="128">
        <v>0</v>
      </c>
      <c r="O79" s="128">
        <v>0</v>
      </c>
      <c r="P79" s="128">
        <v>0</v>
      </c>
      <c r="Q79" s="128">
        <v>0.18</v>
      </c>
      <c r="R79" s="128">
        <v>0.03</v>
      </c>
      <c r="S79" s="128">
        <v>0.01</v>
      </c>
      <c r="T79" s="128">
        <v>0</v>
      </c>
      <c r="U79" s="128">
        <v>0</v>
      </c>
      <c r="V79" s="128">
        <v>0</v>
      </c>
      <c r="W79" s="128">
        <v>0.63</v>
      </c>
      <c r="X79" s="128">
        <v>0.05</v>
      </c>
      <c r="Y79" s="128">
        <v>0.02</v>
      </c>
      <c r="Z79" s="128">
        <v>14.86</v>
      </c>
    </row>
    <row r="80" spans="1:26" x14ac:dyDescent="0.2">
      <c r="A80" s="634">
        <v>302</v>
      </c>
      <c r="B80" s="128" t="s">
        <v>935</v>
      </c>
      <c r="C80" s="128">
        <v>28</v>
      </c>
      <c r="D80" s="128" t="s">
        <v>936</v>
      </c>
      <c r="E80" s="128">
        <v>4</v>
      </c>
      <c r="F80" s="128" t="s">
        <v>937</v>
      </c>
      <c r="G80" s="128">
        <v>10</v>
      </c>
      <c r="H80" s="128">
        <v>12</v>
      </c>
      <c r="I80" s="633">
        <v>377.08</v>
      </c>
      <c r="J80" s="128">
        <v>377.55</v>
      </c>
      <c r="K80" s="128">
        <v>0.04</v>
      </c>
      <c r="L80" s="128">
        <v>0.04</v>
      </c>
      <c r="M80" s="128">
        <v>0</v>
      </c>
      <c r="N80" s="128">
        <v>0</v>
      </c>
      <c r="O80" s="128">
        <v>0</v>
      </c>
      <c r="P80" s="128">
        <v>0</v>
      </c>
      <c r="Q80" s="128">
        <v>0.18</v>
      </c>
      <c r="R80" s="128">
        <v>0</v>
      </c>
      <c r="S80" s="128">
        <v>0</v>
      </c>
      <c r="T80" s="128">
        <v>0</v>
      </c>
      <c r="U80" s="128">
        <v>0</v>
      </c>
      <c r="V80" s="128">
        <v>0</v>
      </c>
      <c r="W80" s="128">
        <v>0.67</v>
      </c>
      <c r="X80" s="128">
        <v>0.06</v>
      </c>
      <c r="Y80" s="128">
        <v>0</v>
      </c>
      <c r="Z80" s="128">
        <v>15.49</v>
      </c>
    </row>
    <row r="81" spans="1:26" x14ac:dyDescent="0.2">
      <c r="A81" s="634">
        <v>302</v>
      </c>
      <c r="B81" s="128" t="s">
        <v>935</v>
      </c>
      <c r="C81" s="128">
        <v>29</v>
      </c>
      <c r="D81" s="128" t="s">
        <v>216</v>
      </c>
      <c r="E81" s="128">
        <v>1</v>
      </c>
      <c r="F81" s="128" t="s">
        <v>233</v>
      </c>
      <c r="G81" s="128">
        <v>41</v>
      </c>
      <c r="H81" s="128">
        <v>42</v>
      </c>
      <c r="I81" s="633">
        <v>376.21</v>
      </c>
      <c r="J81" s="128">
        <v>378.21</v>
      </c>
      <c r="K81" s="128">
        <v>7.0000000000000007E-2</v>
      </c>
      <c r="L81" s="128">
        <v>0.04</v>
      </c>
      <c r="M81" s="128">
        <v>0</v>
      </c>
      <c r="N81" s="128">
        <v>0</v>
      </c>
      <c r="O81" s="128">
        <v>0</v>
      </c>
      <c r="P81" s="128">
        <v>0</v>
      </c>
      <c r="Q81" s="128">
        <v>0.15</v>
      </c>
      <c r="R81" s="128">
        <v>0.03</v>
      </c>
      <c r="S81" s="128">
        <v>0.02</v>
      </c>
      <c r="T81" s="128">
        <v>0.01</v>
      </c>
      <c r="U81" s="128">
        <v>0.01</v>
      </c>
      <c r="V81" s="128">
        <v>0</v>
      </c>
      <c r="W81" s="128">
        <v>0.59</v>
      </c>
      <c r="X81" s="128">
        <v>0.06</v>
      </c>
      <c r="Y81" s="128">
        <v>0.03</v>
      </c>
      <c r="Z81" s="128">
        <v>14.62</v>
      </c>
    </row>
    <row r="82" spans="1:26" x14ac:dyDescent="0.2">
      <c r="A82" s="634">
        <v>302</v>
      </c>
      <c r="B82" s="128" t="s">
        <v>935</v>
      </c>
      <c r="C82" s="128">
        <v>29</v>
      </c>
      <c r="D82" s="128" t="s">
        <v>216</v>
      </c>
      <c r="E82" s="128">
        <v>1</v>
      </c>
      <c r="F82" s="128" t="s">
        <v>233</v>
      </c>
      <c r="G82" s="128">
        <v>61</v>
      </c>
      <c r="H82" s="128">
        <v>62</v>
      </c>
      <c r="I82" s="633">
        <v>376.41</v>
      </c>
      <c r="J82" s="128">
        <v>378.41</v>
      </c>
      <c r="K82" s="128">
        <v>0.05</v>
      </c>
      <c r="L82" s="128">
        <v>0.03</v>
      </c>
      <c r="M82" s="128">
        <v>0</v>
      </c>
      <c r="N82" s="128">
        <v>0</v>
      </c>
      <c r="O82" s="128">
        <v>0</v>
      </c>
      <c r="P82" s="128">
        <v>0</v>
      </c>
      <c r="Q82" s="128">
        <v>0.17</v>
      </c>
      <c r="R82" s="128">
        <v>0.02</v>
      </c>
      <c r="S82" s="128">
        <v>0.02</v>
      </c>
      <c r="T82" s="128">
        <v>0.01</v>
      </c>
      <c r="U82" s="128">
        <v>0</v>
      </c>
      <c r="V82" s="128">
        <v>0</v>
      </c>
      <c r="W82" s="128">
        <v>0.6</v>
      </c>
      <c r="X82" s="128">
        <v>0.06</v>
      </c>
      <c r="Y82" s="128">
        <v>0.03</v>
      </c>
      <c r="Z82" s="128">
        <v>14.72</v>
      </c>
    </row>
    <row r="83" spans="1:26" x14ac:dyDescent="0.2">
      <c r="A83" s="634">
        <v>302</v>
      </c>
      <c r="B83" s="128" t="s">
        <v>935</v>
      </c>
      <c r="C83" s="128">
        <v>29</v>
      </c>
      <c r="D83" s="128" t="s">
        <v>216</v>
      </c>
      <c r="E83" s="128">
        <v>1</v>
      </c>
      <c r="F83" s="128" t="s">
        <v>233</v>
      </c>
      <c r="G83" s="128">
        <v>81</v>
      </c>
      <c r="H83" s="128">
        <v>82</v>
      </c>
      <c r="I83" s="633">
        <v>376.61</v>
      </c>
      <c r="J83" s="128">
        <v>378.61</v>
      </c>
      <c r="K83" s="128">
        <v>0.05</v>
      </c>
      <c r="L83" s="128">
        <v>0.03</v>
      </c>
      <c r="M83" s="128">
        <v>0</v>
      </c>
      <c r="N83" s="128">
        <v>0</v>
      </c>
      <c r="O83" s="128">
        <v>0</v>
      </c>
      <c r="P83" s="128">
        <v>0</v>
      </c>
      <c r="Q83" s="128">
        <v>0.16</v>
      </c>
      <c r="R83" s="128">
        <v>0.03</v>
      </c>
      <c r="S83" s="128">
        <v>0.02</v>
      </c>
      <c r="T83" s="128">
        <v>0.01</v>
      </c>
      <c r="U83" s="128">
        <v>0.01</v>
      </c>
      <c r="V83" s="128">
        <v>0</v>
      </c>
      <c r="W83" s="128">
        <v>0.62</v>
      </c>
      <c r="X83" s="128">
        <v>0.06</v>
      </c>
      <c r="Y83" s="128">
        <v>0.03</v>
      </c>
      <c r="Z83" s="128">
        <v>15.26</v>
      </c>
    </row>
    <row r="84" spans="1:26" x14ac:dyDescent="0.2">
      <c r="A84" s="634">
        <v>302</v>
      </c>
      <c r="B84" s="128" t="s">
        <v>935</v>
      </c>
      <c r="C84" s="128">
        <v>29</v>
      </c>
      <c r="D84" s="128" t="s">
        <v>216</v>
      </c>
      <c r="E84" s="128">
        <v>1</v>
      </c>
      <c r="F84" s="128" t="s">
        <v>233</v>
      </c>
      <c r="G84" s="128">
        <v>101</v>
      </c>
      <c r="H84" s="128">
        <v>102</v>
      </c>
      <c r="I84" s="633">
        <v>376.81</v>
      </c>
      <c r="J84" s="128">
        <v>378.81</v>
      </c>
      <c r="K84" s="128">
        <v>0.08</v>
      </c>
      <c r="L84" s="128">
        <v>0.04</v>
      </c>
      <c r="M84" s="128">
        <v>0</v>
      </c>
      <c r="N84" s="128">
        <v>0</v>
      </c>
      <c r="O84" s="128">
        <v>0</v>
      </c>
      <c r="P84" s="128">
        <v>0</v>
      </c>
      <c r="Q84" s="128">
        <v>0.19</v>
      </c>
      <c r="R84" s="128">
        <v>0.03</v>
      </c>
      <c r="S84" s="128">
        <v>0.02</v>
      </c>
      <c r="T84" s="128">
        <v>0.01</v>
      </c>
      <c r="U84" s="128">
        <v>0.01</v>
      </c>
      <c r="V84" s="128">
        <v>0</v>
      </c>
      <c r="W84" s="128">
        <v>0.54</v>
      </c>
      <c r="X84" s="128">
        <v>0.05</v>
      </c>
      <c r="Y84" s="128">
        <v>0.03</v>
      </c>
      <c r="Z84" s="128">
        <v>12.92</v>
      </c>
    </row>
    <row r="85" spans="1:26" x14ac:dyDescent="0.2">
      <c r="A85" s="634">
        <v>302</v>
      </c>
      <c r="B85" s="128" t="s">
        <v>935</v>
      </c>
      <c r="C85" s="128">
        <v>29</v>
      </c>
      <c r="D85" s="128" t="s">
        <v>216</v>
      </c>
      <c r="E85" s="128" t="s">
        <v>232</v>
      </c>
      <c r="F85" s="128" t="s">
        <v>233</v>
      </c>
      <c r="G85" s="128">
        <v>0</v>
      </c>
      <c r="H85" s="128">
        <v>1</v>
      </c>
      <c r="I85" s="633">
        <v>377.01</v>
      </c>
      <c r="J85" s="128">
        <v>379.01</v>
      </c>
      <c r="K85" s="128">
        <v>0.08</v>
      </c>
      <c r="L85" s="128">
        <v>0.04</v>
      </c>
      <c r="M85" s="128">
        <v>0</v>
      </c>
      <c r="N85" s="128">
        <v>0</v>
      </c>
      <c r="O85" s="128">
        <v>0</v>
      </c>
      <c r="P85" s="128">
        <v>0</v>
      </c>
      <c r="Q85" s="128">
        <v>0.19</v>
      </c>
      <c r="R85" s="128">
        <v>0.03</v>
      </c>
      <c r="S85" s="128">
        <v>0.02</v>
      </c>
      <c r="T85" s="128">
        <v>0.01</v>
      </c>
      <c r="U85" s="128">
        <v>0.01</v>
      </c>
      <c r="V85" s="128">
        <v>0</v>
      </c>
      <c r="W85" s="128">
        <v>0.52</v>
      </c>
      <c r="X85" s="128">
        <v>0.06</v>
      </c>
      <c r="Y85" s="128">
        <v>0.03</v>
      </c>
      <c r="Z85" s="128">
        <v>12.71</v>
      </c>
    </row>
    <row r="86" spans="1:26" x14ac:dyDescent="0.2">
      <c r="A86" s="634">
        <v>302</v>
      </c>
      <c r="B86" s="128" t="s">
        <v>935</v>
      </c>
      <c r="C86" s="128">
        <v>30</v>
      </c>
      <c r="D86" s="128" t="s">
        <v>936</v>
      </c>
      <c r="E86" s="128">
        <v>1</v>
      </c>
      <c r="F86" s="128" t="s">
        <v>233</v>
      </c>
      <c r="G86" s="128">
        <v>1</v>
      </c>
      <c r="H86" s="128">
        <v>3</v>
      </c>
      <c r="I86" s="633">
        <v>380.31</v>
      </c>
      <c r="J86" s="128">
        <v>380.31</v>
      </c>
      <c r="K86" s="128">
        <v>0</v>
      </c>
      <c r="L86" s="128">
        <v>0</v>
      </c>
      <c r="M86" s="128">
        <v>0</v>
      </c>
      <c r="N86" s="128">
        <v>0</v>
      </c>
      <c r="O86" s="128">
        <v>0</v>
      </c>
      <c r="P86" s="128">
        <v>0</v>
      </c>
      <c r="Q86" s="128">
        <v>0.17</v>
      </c>
      <c r="R86" s="128">
        <v>0</v>
      </c>
      <c r="S86" s="128">
        <v>0</v>
      </c>
      <c r="T86" s="128">
        <v>0</v>
      </c>
      <c r="U86" s="128">
        <v>0</v>
      </c>
      <c r="V86" s="128">
        <v>0</v>
      </c>
      <c r="W86" s="128">
        <v>0.83</v>
      </c>
      <c r="X86" s="128">
        <v>0</v>
      </c>
      <c r="Y86" s="128">
        <v>0</v>
      </c>
      <c r="Z86" s="128">
        <v>17.41</v>
      </c>
    </row>
    <row r="87" spans="1:26" x14ac:dyDescent="0.2">
      <c r="A87" s="634">
        <v>302</v>
      </c>
      <c r="B87" s="128" t="s">
        <v>935</v>
      </c>
      <c r="C87" s="128">
        <v>30</v>
      </c>
      <c r="D87" s="128" t="s">
        <v>936</v>
      </c>
      <c r="E87" s="128">
        <v>1</v>
      </c>
      <c r="F87" s="128" t="s">
        <v>233</v>
      </c>
      <c r="G87" s="128">
        <v>21</v>
      </c>
      <c r="H87" s="128">
        <v>23</v>
      </c>
      <c r="I87" s="633">
        <v>380.51</v>
      </c>
      <c r="J87" s="128">
        <v>380.51</v>
      </c>
      <c r="K87" s="128">
        <v>0.04</v>
      </c>
      <c r="L87" s="128">
        <v>0.03</v>
      </c>
      <c r="M87" s="128">
        <v>0</v>
      </c>
      <c r="N87" s="128">
        <v>0</v>
      </c>
      <c r="O87" s="128">
        <v>0</v>
      </c>
      <c r="P87" s="128">
        <v>0</v>
      </c>
      <c r="Q87" s="128">
        <v>0.16</v>
      </c>
      <c r="R87" s="128">
        <v>0.03</v>
      </c>
      <c r="S87" s="128">
        <v>0.01</v>
      </c>
      <c r="T87" s="128">
        <v>0.01</v>
      </c>
      <c r="U87" s="128">
        <v>0</v>
      </c>
      <c r="V87" s="128">
        <v>0</v>
      </c>
      <c r="W87" s="128">
        <v>0.64</v>
      </c>
      <c r="X87" s="128">
        <v>0.05</v>
      </c>
      <c r="Y87" s="128">
        <v>0.02</v>
      </c>
      <c r="Z87" s="128">
        <v>15.32</v>
      </c>
    </row>
    <row r="88" spans="1:26" x14ac:dyDescent="0.2">
      <c r="A88" s="634">
        <v>302</v>
      </c>
      <c r="B88" s="128" t="s">
        <v>935</v>
      </c>
      <c r="C88" s="128">
        <v>30</v>
      </c>
      <c r="D88" s="128" t="s">
        <v>936</v>
      </c>
      <c r="E88" s="128">
        <v>1</v>
      </c>
      <c r="F88" s="128" t="s">
        <v>233</v>
      </c>
      <c r="G88" s="128">
        <v>41</v>
      </c>
      <c r="H88" s="128">
        <v>43</v>
      </c>
      <c r="I88" s="128">
        <v>380.71</v>
      </c>
      <c r="J88" s="633">
        <v>380.71</v>
      </c>
      <c r="K88" s="128">
        <v>0</v>
      </c>
      <c r="L88" s="128">
        <v>0</v>
      </c>
      <c r="M88" s="128">
        <v>0</v>
      </c>
      <c r="N88" s="128">
        <v>0</v>
      </c>
      <c r="O88" s="128">
        <v>0</v>
      </c>
      <c r="P88" s="128">
        <v>0</v>
      </c>
      <c r="Q88" s="128">
        <v>0.15</v>
      </c>
      <c r="R88" s="128">
        <v>0</v>
      </c>
      <c r="S88" s="128">
        <v>0</v>
      </c>
      <c r="T88" s="128">
        <v>0</v>
      </c>
      <c r="U88" s="128">
        <v>0</v>
      </c>
      <c r="V88" s="128">
        <v>0</v>
      </c>
      <c r="W88" s="128">
        <v>0.85</v>
      </c>
      <c r="X88" s="128">
        <v>0</v>
      </c>
      <c r="Y88" s="128">
        <v>0</v>
      </c>
      <c r="Z88" s="128">
        <v>18.13</v>
      </c>
    </row>
    <row r="89" spans="1:26" x14ac:dyDescent="0.2">
      <c r="A89" s="634">
        <v>302</v>
      </c>
      <c r="B89" s="128" t="s">
        <v>935</v>
      </c>
      <c r="C89" s="128">
        <v>30</v>
      </c>
      <c r="D89" s="128" t="s">
        <v>936</v>
      </c>
      <c r="E89" s="128">
        <v>1</v>
      </c>
      <c r="F89" s="128" t="s">
        <v>233</v>
      </c>
      <c r="G89" s="128">
        <v>62</v>
      </c>
      <c r="H89" s="128">
        <v>63</v>
      </c>
      <c r="I89" s="128">
        <v>380.91</v>
      </c>
      <c r="J89" s="633">
        <v>380.91</v>
      </c>
      <c r="K89" s="128">
        <v>0.04</v>
      </c>
      <c r="L89" s="128">
        <v>0.03</v>
      </c>
      <c r="M89" s="128">
        <v>0</v>
      </c>
      <c r="N89" s="128">
        <v>0</v>
      </c>
      <c r="O89" s="128">
        <v>0</v>
      </c>
      <c r="P89" s="128">
        <v>0</v>
      </c>
      <c r="Q89" s="128">
        <v>0.14000000000000001</v>
      </c>
      <c r="R89" s="128">
        <v>0.02</v>
      </c>
      <c r="S89" s="128">
        <v>0.01</v>
      </c>
      <c r="T89" s="128">
        <v>0.01</v>
      </c>
      <c r="U89" s="128">
        <v>0</v>
      </c>
      <c r="V89" s="128">
        <v>0</v>
      </c>
      <c r="W89" s="128">
        <v>0.67</v>
      </c>
      <c r="X89" s="128">
        <v>0.05</v>
      </c>
      <c r="Y89" s="128">
        <v>0.03</v>
      </c>
      <c r="Z89" s="128">
        <v>16.43</v>
      </c>
    </row>
    <row r="90" spans="1:26" x14ac:dyDescent="0.2">
      <c r="A90" s="634">
        <v>302</v>
      </c>
      <c r="B90" s="128" t="s">
        <v>935</v>
      </c>
      <c r="C90" s="128">
        <v>30</v>
      </c>
      <c r="D90" s="128" t="s">
        <v>936</v>
      </c>
      <c r="E90" s="128">
        <v>1</v>
      </c>
      <c r="F90" s="128" t="s">
        <v>233</v>
      </c>
      <c r="G90" s="128">
        <v>81</v>
      </c>
      <c r="H90" s="128">
        <v>83</v>
      </c>
      <c r="I90" s="633">
        <v>381.11</v>
      </c>
      <c r="J90" s="128">
        <v>381.11</v>
      </c>
      <c r="K90" s="128">
        <v>0.06</v>
      </c>
      <c r="L90" s="128">
        <v>0.04</v>
      </c>
      <c r="M90" s="128">
        <v>0</v>
      </c>
      <c r="N90" s="128">
        <v>0</v>
      </c>
      <c r="O90" s="128">
        <v>0</v>
      </c>
      <c r="P90" s="128">
        <v>0</v>
      </c>
      <c r="Q90" s="128">
        <v>0.17</v>
      </c>
      <c r="R90" s="128">
        <v>0.03</v>
      </c>
      <c r="S90" s="128">
        <v>0.02</v>
      </c>
      <c r="T90" s="128">
        <v>0.01</v>
      </c>
      <c r="U90" s="128">
        <v>0.01</v>
      </c>
      <c r="V90" s="128">
        <v>0</v>
      </c>
      <c r="W90" s="128">
        <v>0.57999999999999996</v>
      </c>
      <c r="X90" s="128">
        <v>0.06</v>
      </c>
      <c r="Y90" s="128">
        <v>0.03</v>
      </c>
      <c r="Z90" s="128">
        <v>14.04</v>
      </c>
    </row>
    <row r="91" spans="1:26" x14ac:dyDescent="0.2">
      <c r="A91" s="634">
        <v>302</v>
      </c>
      <c r="B91" s="128" t="s">
        <v>935</v>
      </c>
      <c r="C91" s="128">
        <v>30</v>
      </c>
      <c r="D91" s="128" t="s">
        <v>936</v>
      </c>
      <c r="E91" s="128">
        <v>1</v>
      </c>
      <c r="F91" s="128" t="s">
        <v>937</v>
      </c>
      <c r="G91" s="128">
        <v>101</v>
      </c>
      <c r="H91" s="128">
        <v>103</v>
      </c>
      <c r="I91" s="633">
        <v>381.31</v>
      </c>
      <c r="J91" s="128">
        <v>381.31</v>
      </c>
      <c r="K91" s="128">
        <v>0.04</v>
      </c>
      <c r="L91" s="128">
        <v>0.02</v>
      </c>
      <c r="M91" s="128">
        <v>0</v>
      </c>
      <c r="N91" s="128">
        <v>0</v>
      </c>
      <c r="O91" s="128">
        <v>0</v>
      </c>
      <c r="P91" s="128">
        <v>0</v>
      </c>
      <c r="Q91" s="128">
        <v>0.16</v>
      </c>
      <c r="R91" s="128">
        <v>0.03</v>
      </c>
      <c r="S91" s="128">
        <v>0.02</v>
      </c>
      <c r="T91" s="128">
        <v>0.01</v>
      </c>
      <c r="U91" s="128">
        <v>0</v>
      </c>
      <c r="V91" s="128">
        <v>0</v>
      </c>
      <c r="W91" s="128">
        <v>0.63</v>
      </c>
      <c r="X91" s="128">
        <v>0.06</v>
      </c>
      <c r="Y91" s="128">
        <v>0.03</v>
      </c>
      <c r="Z91" s="128">
        <v>15.34</v>
      </c>
    </row>
    <row r="92" spans="1:26" x14ac:dyDescent="0.2">
      <c r="A92" s="634">
        <v>302</v>
      </c>
      <c r="B92" s="128" t="s">
        <v>935</v>
      </c>
      <c r="C92" s="128">
        <v>30</v>
      </c>
      <c r="D92" s="128" t="s">
        <v>216</v>
      </c>
      <c r="E92" s="128">
        <v>1</v>
      </c>
      <c r="F92" s="128" t="s">
        <v>233</v>
      </c>
      <c r="G92" s="128">
        <v>121</v>
      </c>
      <c r="H92" s="128">
        <v>122</v>
      </c>
      <c r="I92" s="633">
        <v>381.51</v>
      </c>
      <c r="J92" s="128">
        <v>381.51</v>
      </c>
      <c r="K92" s="128">
        <v>0.04</v>
      </c>
      <c r="L92" s="128">
        <v>0.03</v>
      </c>
      <c r="M92" s="128">
        <v>0</v>
      </c>
      <c r="N92" s="128">
        <v>0</v>
      </c>
      <c r="O92" s="128">
        <v>0</v>
      </c>
      <c r="P92" s="128">
        <v>0</v>
      </c>
      <c r="Q92" s="128">
        <v>0.13</v>
      </c>
      <c r="R92" s="128">
        <v>0.02</v>
      </c>
      <c r="S92" s="128">
        <v>0.01</v>
      </c>
      <c r="T92" s="128">
        <v>0.01</v>
      </c>
      <c r="U92" s="128">
        <v>0</v>
      </c>
      <c r="V92" s="128">
        <v>0</v>
      </c>
      <c r="W92" s="128">
        <v>0.66</v>
      </c>
      <c r="X92" s="128">
        <v>0.05</v>
      </c>
      <c r="Y92" s="128">
        <v>0.03</v>
      </c>
      <c r="Z92" s="128">
        <v>16.399999999999999</v>
      </c>
    </row>
    <row r="93" spans="1:26" x14ac:dyDescent="0.2">
      <c r="A93" s="634">
        <v>302</v>
      </c>
      <c r="B93" s="128" t="s">
        <v>935</v>
      </c>
      <c r="C93" s="128">
        <v>30</v>
      </c>
      <c r="D93" s="128" t="s">
        <v>216</v>
      </c>
      <c r="E93" s="128">
        <v>1</v>
      </c>
      <c r="F93" s="128" t="s">
        <v>233</v>
      </c>
      <c r="G93" s="128">
        <v>141</v>
      </c>
      <c r="H93" s="128">
        <v>142</v>
      </c>
      <c r="I93" s="633">
        <v>381.71</v>
      </c>
      <c r="J93" s="128">
        <v>381.71</v>
      </c>
      <c r="K93" s="128">
        <v>0.08</v>
      </c>
      <c r="L93" s="128">
        <v>0.04</v>
      </c>
      <c r="M93" s="128">
        <v>0</v>
      </c>
      <c r="N93" s="128">
        <v>0</v>
      </c>
      <c r="O93" s="128">
        <v>0</v>
      </c>
      <c r="P93" s="128">
        <v>0</v>
      </c>
      <c r="Q93" s="128">
        <v>0.14000000000000001</v>
      </c>
      <c r="R93" s="128">
        <v>0.02</v>
      </c>
      <c r="S93" s="128">
        <v>0.02</v>
      </c>
      <c r="T93" s="128">
        <v>0.01</v>
      </c>
      <c r="U93" s="128">
        <v>0.01</v>
      </c>
      <c r="V93" s="128">
        <v>0</v>
      </c>
      <c r="W93" s="128">
        <v>0.57999999999999996</v>
      </c>
      <c r="X93" s="128">
        <v>0.06</v>
      </c>
      <c r="Y93" s="128">
        <v>0.03</v>
      </c>
      <c r="Z93" s="128">
        <v>14.2</v>
      </c>
    </row>
    <row r="94" spans="1:26" x14ac:dyDescent="0.2">
      <c r="A94" s="634">
        <v>302</v>
      </c>
      <c r="B94" s="128" t="s">
        <v>935</v>
      </c>
      <c r="C94" s="128">
        <v>30</v>
      </c>
      <c r="D94" s="128" t="s">
        <v>216</v>
      </c>
      <c r="E94" s="128">
        <v>2</v>
      </c>
      <c r="F94" s="128" t="s">
        <v>233</v>
      </c>
      <c r="G94" s="128">
        <v>1</v>
      </c>
      <c r="H94" s="128">
        <v>2</v>
      </c>
      <c r="I94" s="633">
        <v>381.82</v>
      </c>
      <c r="J94" s="128">
        <v>381.82</v>
      </c>
      <c r="K94" s="128">
        <v>0.05</v>
      </c>
      <c r="L94" s="128">
        <v>0.03</v>
      </c>
      <c r="M94" s="128">
        <v>0</v>
      </c>
      <c r="N94" s="128">
        <v>0</v>
      </c>
      <c r="O94" s="128">
        <v>0</v>
      </c>
      <c r="P94" s="128">
        <v>0</v>
      </c>
      <c r="Q94" s="128">
        <v>0.14000000000000001</v>
      </c>
      <c r="R94" s="128">
        <v>0.03</v>
      </c>
      <c r="S94" s="128">
        <v>0.02</v>
      </c>
      <c r="T94" s="128">
        <v>0</v>
      </c>
      <c r="U94" s="128">
        <v>0</v>
      </c>
      <c r="V94" s="128">
        <v>0</v>
      </c>
      <c r="W94" s="128">
        <v>0.65</v>
      </c>
      <c r="X94" s="128">
        <v>0.05</v>
      </c>
      <c r="Y94" s="128">
        <v>0.02</v>
      </c>
      <c r="Z94" s="128">
        <v>15.92</v>
      </c>
    </row>
    <row r="95" spans="1:26" x14ac:dyDescent="0.2">
      <c r="A95" s="634">
        <v>302</v>
      </c>
      <c r="B95" s="128" t="s">
        <v>935</v>
      </c>
      <c r="C95" s="128">
        <v>30</v>
      </c>
      <c r="D95" s="128" t="s">
        <v>216</v>
      </c>
      <c r="E95" s="128">
        <v>2</v>
      </c>
      <c r="F95" s="128" t="s">
        <v>233</v>
      </c>
      <c r="G95" s="128">
        <v>21</v>
      </c>
      <c r="H95" s="128">
        <v>22</v>
      </c>
      <c r="I95" s="633">
        <v>382.02</v>
      </c>
      <c r="J95" s="128">
        <v>382.02</v>
      </c>
      <c r="K95" s="128">
        <v>7.0000000000000007E-2</v>
      </c>
      <c r="L95" s="128">
        <v>0.03</v>
      </c>
      <c r="M95" s="128">
        <v>0</v>
      </c>
      <c r="N95" s="128">
        <v>0</v>
      </c>
      <c r="O95" s="128">
        <v>0</v>
      </c>
      <c r="P95" s="128">
        <v>0</v>
      </c>
      <c r="Q95" s="128">
        <v>0.16</v>
      </c>
      <c r="R95" s="128">
        <v>0.03</v>
      </c>
      <c r="S95" s="128">
        <v>0.02</v>
      </c>
      <c r="T95" s="128">
        <v>0.01</v>
      </c>
      <c r="U95" s="128">
        <v>0.01</v>
      </c>
      <c r="V95" s="128">
        <v>0</v>
      </c>
      <c r="W95" s="128">
        <v>0.56999999999999995</v>
      </c>
      <c r="X95" s="128">
        <v>0.06</v>
      </c>
      <c r="Y95" s="128">
        <v>0.03</v>
      </c>
      <c r="Z95" s="128">
        <v>14.11</v>
      </c>
    </row>
    <row r="96" spans="1:26" x14ac:dyDescent="0.2">
      <c r="A96" s="634">
        <v>302</v>
      </c>
      <c r="B96" s="128" t="s">
        <v>935</v>
      </c>
      <c r="C96" s="128">
        <v>30</v>
      </c>
      <c r="D96" s="128" t="s">
        <v>216</v>
      </c>
      <c r="E96" s="128">
        <v>2</v>
      </c>
      <c r="F96" s="128" t="s">
        <v>233</v>
      </c>
      <c r="G96" s="128">
        <v>41</v>
      </c>
      <c r="H96" s="128">
        <v>42</v>
      </c>
      <c r="I96" s="633">
        <v>382.22</v>
      </c>
      <c r="J96" s="128">
        <v>382.22</v>
      </c>
      <c r="K96" s="128">
        <v>0.05</v>
      </c>
      <c r="L96" s="128">
        <v>0.03</v>
      </c>
      <c r="M96" s="128">
        <v>0</v>
      </c>
      <c r="N96" s="128">
        <v>0</v>
      </c>
      <c r="O96" s="128">
        <v>0</v>
      </c>
      <c r="P96" s="128">
        <v>0</v>
      </c>
      <c r="Q96" s="128">
        <v>0.13</v>
      </c>
      <c r="R96" s="128">
        <v>0.03</v>
      </c>
      <c r="S96" s="128">
        <v>0.02</v>
      </c>
      <c r="T96" s="128">
        <v>0.01</v>
      </c>
      <c r="U96" s="128">
        <v>0.01</v>
      </c>
      <c r="V96" s="128">
        <v>0</v>
      </c>
      <c r="W96" s="128">
        <v>0.64</v>
      </c>
      <c r="X96" s="128">
        <v>0.06</v>
      </c>
      <c r="Y96" s="128">
        <v>0.03</v>
      </c>
      <c r="Z96" s="128">
        <v>16.059999999999999</v>
      </c>
    </row>
    <row r="97" spans="1:26" x14ac:dyDescent="0.2">
      <c r="A97" s="634">
        <v>302</v>
      </c>
      <c r="B97" s="128" t="s">
        <v>935</v>
      </c>
      <c r="C97" s="128">
        <v>30</v>
      </c>
      <c r="D97" s="128" t="s">
        <v>216</v>
      </c>
      <c r="E97" s="128">
        <v>2</v>
      </c>
      <c r="F97" s="128" t="s">
        <v>233</v>
      </c>
      <c r="G97" s="128">
        <v>61</v>
      </c>
      <c r="H97" s="128">
        <v>62</v>
      </c>
      <c r="I97" s="633">
        <v>382.42</v>
      </c>
      <c r="J97" s="128">
        <v>382.42</v>
      </c>
      <c r="K97" s="128">
        <v>0.04</v>
      </c>
      <c r="L97" s="128">
        <v>0.03</v>
      </c>
      <c r="M97" s="128">
        <v>0</v>
      </c>
      <c r="N97" s="128">
        <v>0</v>
      </c>
      <c r="O97" s="128">
        <v>0</v>
      </c>
      <c r="P97" s="128">
        <v>0</v>
      </c>
      <c r="Q97" s="128">
        <v>0.11</v>
      </c>
      <c r="R97" s="128">
        <v>0.03</v>
      </c>
      <c r="S97" s="128">
        <v>0.01</v>
      </c>
      <c r="T97" s="128">
        <v>0.01</v>
      </c>
      <c r="U97" s="128">
        <v>0</v>
      </c>
      <c r="V97" s="128">
        <v>0</v>
      </c>
      <c r="W97" s="128">
        <v>0.68</v>
      </c>
      <c r="X97" s="128">
        <v>0.06</v>
      </c>
      <c r="Y97" s="128">
        <v>0.02</v>
      </c>
      <c r="Z97" s="128">
        <v>17.260000000000002</v>
      </c>
    </row>
    <row r="98" spans="1:26" x14ac:dyDescent="0.2">
      <c r="A98" s="634">
        <v>302</v>
      </c>
      <c r="B98" s="128" t="s">
        <v>935</v>
      </c>
      <c r="C98" s="128">
        <v>30</v>
      </c>
      <c r="D98" s="128" t="s">
        <v>216</v>
      </c>
      <c r="E98" s="128">
        <v>2</v>
      </c>
      <c r="F98" s="128" t="s">
        <v>233</v>
      </c>
      <c r="G98" s="128">
        <v>81</v>
      </c>
      <c r="H98" s="128">
        <v>82</v>
      </c>
      <c r="I98" s="633">
        <v>382.62</v>
      </c>
      <c r="J98" s="128">
        <v>382.62</v>
      </c>
      <c r="K98" s="128">
        <v>0.05</v>
      </c>
      <c r="L98" s="128">
        <v>0.02</v>
      </c>
      <c r="M98" s="128">
        <v>0</v>
      </c>
      <c r="N98" s="128">
        <v>0</v>
      </c>
      <c r="O98" s="128">
        <v>0</v>
      </c>
      <c r="P98" s="128">
        <v>0</v>
      </c>
      <c r="Q98" s="128">
        <v>0.12</v>
      </c>
      <c r="R98" s="128">
        <v>0.03</v>
      </c>
      <c r="S98" s="128">
        <v>0.01</v>
      </c>
      <c r="T98" s="128">
        <v>0.01</v>
      </c>
      <c r="U98" s="128">
        <v>0</v>
      </c>
      <c r="V98" s="128">
        <v>0</v>
      </c>
      <c r="W98" s="128">
        <v>0.67</v>
      </c>
      <c r="X98" s="128">
        <v>0.06</v>
      </c>
      <c r="Y98" s="128">
        <v>0.02</v>
      </c>
      <c r="Z98" s="128">
        <v>16.72</v>
      </c>
    </row>
    <row r="99" spans="1:26" x14ac:dyDescent="0.2">
      <c r="A99" s="634">
        <v>302</v>
      </c>
      <c r="B99" s="128" t="s">
        <v>935</v>
      </c>
      <c r="C99" s="128">
        <v>30</v>
      </c>
      <c r="D99" s="128" t="s">
        <v>216</v>
      </c>
      <c r="E99" s="128">
        <v>2</v>
      </c>
      <c r="F99" s="128" t="s">
        <v>233</v>
      </c>
      <c r="G99" s="128">
        <v>101</v>
      </c>
      <c r="H99" s="128">
        <v>102</v>
      </c>
      <c r="I99" s="633">
        <v>382.82</v>
      </c>
      <c r="J99" s="128">
        <v>382.82</v>
      </c>
      <c r="K99" s="128">
        <v>0.04</v>
      </c>
      <c r="L99" s="128">
        <v>0.02</v>
      </c>
      <c r="M99" s="128">
        <v>0</v>
      </c>
      <c r="N99" s="128">
        <v>0</v>
      </c>
      <c r="O99" s="128">
        <v>0</v>
      </c>
      <c r="P99" s="128">
        <v>0</v>
      </c>
      <c r="Q99" s="128">
        <v>0.09</v>
      </c>
      <c r="R99" s="128">
        <v>0.03</v>
      </c>
      <c r="S99" s="128">
        <v>0.01</v>
      </c>
      <c r="T99" s="128">
        <v>0.01</v>
      </c>
      <c r="U99" s="128">
        <v>0</v>
      </c>
      <c r="V99" s="128">
        <v>0</v>
      </c>
      <c r="W99" s="128">
        <v>0.7</v>
      </c>
      <c r="X99" s="128">
        <v>0.06</v>
      </c>
      <c r="Y99" s="128">
        <v>0.02</v>
      </c>
      <c r="Z99" s="128">
        <v>17.77</v>
      </c>
    </row>
    <row r="100" spans="1:26" x14ac:dyDescent="0.2">
      <c r="A100" s="634">
        <v>302</v>
      </c>
      <c r="B100" s="128" t="s">
        <v>935</v>
      </c>
      <c r="C100" s="128">
        <v>30</v>
      </c>
      <c r="D100" s="128" t="s">
        <v>216</v>
      </c>
      <c r="E100" s="128">
        <v>2</v>
      </c>
      <c r="F100" s="128" t="s">
        <v>233</v>
      </c>
      <c r="G100" s="128">
        <v>121</v>
      </c>
      <c r="H100" s="128">
        <v>122</v>
      </c>
      <c r="I100" s="633">
        <v>383.02</v>
      </c>
      <c r="J100" s="128">
        <v>383.02</v>
      </c>
      <c r="K100" s="128">
        <v>0.04</v>
      </c>
      <c r="L100" s="128">
        <v>0.02</v>
      </c>
      <c r="M100" s="128">
        <v>0</v>
      </c>
      <c r="N100" s="128">
        <v>0</v>
      </c>
      <c r="O100" s="128">
        <v>0</v>
      </c>
      <c r="P100" s="128">
        <v>0</v>
      </c>
      <c r="Q100" s="128">
        <v>0.1</v>
      </c>
      <c r="R100" s="128">
        <v>0.03</v>
      </c>
      <c r="S100" s="128">
        <v>0.01</v>
      </c>
      <c r="T100" s="128">
        <v>0.01</v>
      </c>
      <c r="U100" s="128">
        <v>0</v>
      </c>
      <c r="V100" s="128">
        <v>0</v>
      </c>
      <c r="W100" s="128">
        <v>0.69</v>
      </c>
      <c r="X100" s="128">
        <v>0.06</v>
      </c>
      <c r="Y100" s="128">
        <v>0.02</v>
      </c>
      <c r="Z100" s="128">
        <v>17.37</v>
      </c>
    </row>
    <row r="101" spans="1:26" x14ac:dyDescent="0.2">
      <c r="A101" s="634">
        <v>302</v>
      </c>
      <c r="B101" s="128" t="s">
        <v>935</v>
      </c>
      <c r="C101" s="128">
        <v>30</v>
      </c>
      <c r="D101" s="128" t="s">
        <v>216</v>
      </c>
      <c r="E101" s="128">
        <v>2</v>
      </c>
      <c r="F101" s="128" t="s">
        <v>233</v>
      </c>
      <c r="G101" s="128">
        <v>141</v>
      </c>
      <c r="H101" s="128">
        <v>142</v>
      </c>
      <c r="I101" s="633">
        <v>383.22</v>
      </c>
      <c r="J101" s="128">
        <v>383.22</v>
      </c>
      <c r="K101" s="128">
        <v>0.05</v>
      </c>
      <c r="L101" s="128">
        <v>0.02</v>
      </c>
      <c r="M101" s="128">
        <v>0</v>
      </c>
      <c r="N101" s="128">
        <v>0</v>
      </c>
      <c r="O101" s="128">
        <v>0</v>
      </c>
      <c r="P101" s="128">
        <v>0</v>
      </c>
      <c r="Q101" s="128">
        <v>0.09</v>
      </c>
      <c r="R101" s="128">
        <v>0.04</v>
      </c>
      <c r="S101" s="128">
        <v>0.02</v>
      </c>
      <c r="T101" s="128">
        <v>0.01</v>
      </c>
      <c r="U101" s="128">
        <v>0</v>
      </c>
      <c r="V101" s="128">
        <v>0</v>
      </c>
      <c r="W101" s="128">
        <v>0.69</v>
      </c>
      <c r="X101" s="128">
        <v>7.0000000000000007E-2</v>
      </c>
      <c r="Y101" s="128">
        <v>0.02</v>
      </c>
      <c r="Z101" s="128">
        <v>17.75</v>
      </c>
    </row>
    <row r="102" spans="1:26" x14ac:dyDescent="0.2">
      <c r="A102" s="634">
        <v>302</v>
      </c>
      <c r="B102" s="128" t="s">
        <v>935</v>
      </c>
      <c r="C102" s="128">
        <v>30</v>
      </c>
      <c r="D102" s="128" t="s">
        <v>216</v>
      </c>
      <c r="E102" s="128">
        <v>3</v>
      </c>
      <c r="F102" s="128" t="s">
        <v>233</v>
      </c>
      <c r="G102" s="128">
        <v>1</v>
      </c>
      <c r="H102" s="128">
        <v>2</v>
      </c>
      <c r="I102" s="633">
        <v>383.34</v>
      </c>
      <c r="J102" s="128">
        <v>383.34</v>
      </c>
      <c r="K102" s="128">
        <v>0.04</v>
      </c>
      <c r="L102" s="128">
        <v>0.02</v>
      </c>
      <c r="M102" s="128">
        <v>0</v>
      </c>
      <c r="N102" s="128">
        <v>0</v>
      </c>
      <c r="O102" s="128">
        <v>0</v>
      </c>
      <c r="P102" s="128">
        <v>0</v>
      </c>
      <c r="Q102" s="128">
        <v>0.1</v>
      </c>
      <c r="R102" s="128">
        <v>0.04</v>
      </c>
      <c r="S102" s="128">
        <v>0.02</v>
      </c>
      <c r="T102" s="128">
        <v>0.01</v>
      </c>
      <c r="U102" s="128">
        <v>0</v>
      </c>
      <c r="V102" s="128">
        <v>0</v>
      </c>
      <c r="W102" s="128">
        <v>0.67</v>
      </c>
      <c r="X102" s="128">
        <v>7.0000000000000007E-2</v>
      </c>
      <c r="Y102" s="128">
        <v>0.02</v>
      </c>
      <c r="Z102" s="128">
        <v>17.54</v>
      </c>
    </row>
    <row r="103" spans="1:26" x14ac:dyDescent="0.2">
      <c r="A103" s="634">
        <v>302</v>
      </c>
      <c r="B103" s="128" t="s">
        <v>935</v>
      </c>
      <c r="C103" s="128">
        <v>30</v>
      </c>
      <c r="D103" s="128" t="s">
        <v>216</v>
      </c>
      <c r="E103" s="128">
        <v>3</v>
      </c>
      <c r="F103" s="128" t="s">
        <v>233</v>
      </c>
      <c r="G103" s="128">
        <v>21</v>
      </c>
      <c r="H103" s="128">
        <v>22</v>
      </c>
      <c r="I103" s="633">
        <v>383.54</v>
      </c>
      <c r="J103" s="128">
        <v>383.54</v>
      </c>
      <c r="K103" s="128">
        <v>0.03</v>
      </c>
      <c r="L103" s="128">
        <v>0.02</v>
      </c>
      <c r="M103" s="128">
        <v>0</v>
      </c>
      <c r="N103" s="128">
        <v>0</v>
      </c>
      <c r="O103" s="128">
        <v>0</v>
      </c>
      <c r="P103" s="128">
        <v>0</v>
      </c>
      <c r="Q103" s="128">
        <v>0.09</v>
      </c>
      <c r="R103" s="128">
        <v>0.03</v>
      </c>
      <c r="S103" s="128">
        <v>0.02</v>
      </c>
      <c r="T103" s="128">
        <v>0.01</v>
      </c>
      <c r="U103" s="128">
        <v>0</v>
      </c>
      <c r="V103" s="128">
        <v>0</v>
      </c>
      <c r="W103" s="128">
        <v>0.69</v>
      </c>
      <c r="X103" s="128">
        <v>0.09</v>
      </c>
      <c r="Y103" s="128">
        <v>0.03</v>
      </c>
      <c r="Z103" s="128">
        <v>18.329999999999998</v>
      </c>
    </row>
    <row r="104" spans="1:26" x14ac:dyDescent="0.2">
      <c r="A104" s="634">
        <v>302</v>
      </c>
      <c r="B104" s="128" t="s">
        <v>935</v>
      </c>
      <c r="C104" s="128">
        <v>30</v>
      </c>
      <c r="D104" s="128" t="s">
        <v>216</v>
      </c>
      <c r="E104" s="128">
        <v>3</v>
      </c>
      <c r="F104" s="128" t="s">
        <v>233</v>
      </c>
      <c r="G104" s="128">
        <v>41</v>
      </c>
      <c r="H104" s="128">
        <v>42</v>
      </c>
      <c r="I104" s="633">
        <v>383.74</v>
      </c>
      <c r="J104" s="128">
        <v>383.74</v>
      </c>
      <c r="K104" s="128">
        <v>0.04</v>
      </c>
      <c r="L104" s="128">
        <v>0.03</v>
      </c>
      <c r="M104" s="128">
        <v>0</v>
      </c>
      <c r="N104" s="128">
        <v>0</v>
      </c>
      <c r="O104" s="128">
        <v>0</v>
      </c>
      <c r="P104" s="128">
        <v>0</v>
      </c>
      <c r="Q104" s="128">
        <v>0.09</v>
      </c>
      <c r="R104" s="128">
        <v>0.03</v>
      </c>
      <c r="S104" s="128">
        <v>0.02</v>
      </c>
      <c r="T104" s="128">
        <v>0.01</v>
      </c>
      <c r="U104" s="128">
        <v>0</v>
      </c>
      <c r="V104" s="128">
        <v>0</v>
      </c>
      <c r="W104" s="128">
        <v>0.68</v>
      </c>
      <c r="X104" s="128">
        <v>0.08</v>
      </c>
      <c r="Y104" s="128">
        <v>0.02</v>
      </c>
      <c r="Z104" s="128">
        <v>17.920000000000002</v>
      </c>
    </row>
    <row r="105" spans="1:26" x14ac:dyDescent="0.2">
      <c r="A105" s="634">
        <v>302</v>
      </c>
      <c r="B105" s="128" t="s">
        <v>935</v>
      </c>
      <c r="C105" s="128">
        <v>30</v>
      </c>
      <c r="D105" s="128" t="s">
        <v>216</v>
      </c>
      <c r="E105" s="128">
        <v>3</v>
      </c>
      <c r="F105" s="128" t="s">
        <v>233</v>
      </c>
      <c r="G105" s="128">
        <v>61</v>
      </c>
      <c r="H105" s="128">
        <v>62</v>
      </c>
      <c r="I105" s="633">
        <v>383.94</v>
      </c>
      <c r="J105" s="128">
        <v>383.94</v>
      </c>
      <c r="K105" s="128">
        <v>0.03</v>
      </c>
      <c r="L105" s="128">
        <v>0.02</v>
      </c>
      <c r="M105" s="128">
        <v>0</v>
      </c>
      <c r="N105" s="128">
        <v>0</v>
      </c>
      <c r="O105" s="128">
        <v>0</v>
      </c>
      <c r="P105" s="128">
        <v>0</v>
      </c>
      <c r="Q105" s="128">
        <v>0.09</v>
      </c>
      <c r="R105" s="128">
        <v>0.03</v>
      </c>
      <c r="S105" s="128">
        <v>0.02</v>
      </c>
      <c r="T105" s="128">
        <v>0.01</v>
      </c>
      <c r="U105" s="128">
        <v>0</v>
      </c>
      <c r="V105" s="128">
        <v>0</v>
      </c>
      <c r="W105" s="128">
        <v>0.7</v>
      </c>
      <c r="X105" s="128">
        <v>7.0000000000000007E-2</v>
      </c>
      <c r="Y105" s="128">
        <v>0.02</v>
      </c>
      <c r="Z105" s="128">
        <v>18.21</v>
      </c>
    </row>
    <row r="106" spans="1:26" x14ac:dyDescent="0.2">
      <c r="A106" s="634">
        <v>302</v>
      </c>
      <c r="B106" s="128" t="s">
        <v>935</v>
      </c>
      <c r="C106" s="128">
        <v>30</v>
      </c>
      <c r="D106" s="128" t="s">
        <v>216</v>
      </c>
      <c r="E106" s="128">
        <v>3</v>
      </c>
      <c r="F106" s="128" t="s">
        <v>233</v>
      </c>
      <c r="G106" s="128">
        <v>81</v>
      </c>
      <c r="H106" s="128">
        <v>82</v>
      </c>
      <c r="I106" s="633">
        <v>384.14</v>
      </c>
      <c r="J106" s="128">
        <v>384.14</v>
      </c>
      <c r="K106" s="128">
        <v>0.03</v>
      </c>
      <c r="L106" s="128">
        <v>0.02</v>
      </c>
      <c r="M106" s="128">
        <v>0</v>
      </c>
      <c r="N106" s="128">
        <v>0</v>
      </c>
      <c r="O106" s="128">
        <v>0</v>
      </c>
      <c r="P106" s="128">
        <v>0</v>
      </c>
      <c r="Q106" s="128">
        <v>0.1</v>
      </c>
      <c r="R106" s="128">
        <v>0.03</v>
      </c>
      <c r="S106" s="128">
        <v>0.01</v>
      </c>
      <c r="T106" s="128">
        <v>0.01</v>
      </c>
      <c r="U106" s="128">
        <v>0</v>
      </c>
      <c r="V106" s="128">
        <v>0</v>
      </c>
      <c r="W106" s="128">
        <v>0.69</v>
      </c>
      <c r="X106" s="128">
        <v>0.08</v>
      </c>
      <c r="Y106" s="128">
        <v>0.03</v>
      </c>
      <c r="Z106" s="128">
        <v>18</v>
      </c>
    </row>
    <row r="107" spans="1:26" x14ac:dyDescent="0.2">
      <c r="A107" s="634">
        <v>302</v>
      </c>
      <c r="B107" s="128" t="s">
        <v>935</v>
      </c>
      <c r="C107" s="128">
        <v>30</v>
      </c>
      <c r="D107" s="128" t="s">
        <v>216</v>
      </c>
      <c r="E107" s="128">
        <v>3</v>
      </c>
      <c r="F107" s="128" t="s">
        <v>233</v>
      </c>
      <c r="G107" s="128">
        <v>101</v>
      </c>
      <c r="H107" s="128">
        <v>102</v>
      </c>
      <c r="I107" s="633">
        <v>384.34</v>
      </c>
      <c r="J107" s="128">
        <v>384.34</v>
      </c>
      <c r="K107" s="128">
        <v>0.04</v>
      </c>
      <c r="L107" s="128">
        <v>0.02</v>
      </c>
      <c r="M107" s="128">
        <v>0</v>
      </c>
      <c r="N107" s="128">
        <v>0</v>
      </c>
      <c r="O107" s="128">
        <v>0</v>
      </c>
      <c r="P107" s="128">
        <v>0</v>
      </c>
      <c r="Q107" s="128">
        <v>0.09</v>
      </c>
      <c r="R107" s="128">
        <v>0.03</v>
      </c>
      <c r="S107" s="128">
        <v>0.02</v>
      </c>
      <c r="T107" s="128">
        <v>0.01</v>
      </c>
      <c r="U107" s="128">
        <v>0</v>
      </c>
      <c r="V107" s="128">
        <v>0</v>
      </c>
      <c r="W107" s="128">
        <v>0.7</v>
      </c>
      <c r="X107" s="128">
        <v>0.08</v>
      </c>
      <c r="Y107" s="128">
        <v>0.02</v>
      </c>
      <c r="Z107" s="128">
        <v>18.010000000000002</v>
      </c>
    </row>
    <row r="108" spans="1:26" x14ac:dyDescent="0.2">
      <c r="A108" s="634">
        <v>302</v>
      </c>
      <c r="B108" s="128" t="s">
        <v>935</v>
      </c>
      <c r="C108" s="128">
        <v>31</v>
      </c>
      <c r="D108" s="128" t="s">
        <v>936</v>
      </c>
      <c r="E108" s="128" t="s">
        <v>217</v>
      </c>
      <c r="F108" s="128" t="s">
        <v>233</v>
      </c>
      <c r="G108" s="128">
        <v>10</v>
      </c>
      <c r="H108" s="128">
        <v>12</v>
      </c>
      <c r="I108" s="128">
        <v>383.3</v>
      </c>
      <c r="J108" s="633">
        <v>385.8</v>
      </c>
      <c r="K108" s="128">
        <v>0.04</v>
      </c>
      <c r="L108" s="128">
        <v>0</v>
      </c>
      <c r="M108" s="128">
        <v>0</v>
      </c>
      <c r="N108" s="128">
        <v>0</v>
      </c>
      <c r="O108" s="128">
        <v>0</v>
      </c>
      <c r="P108" s="128">
        <v>0</v>
      </c>
      <c r="Q108" s="128">
        <v>0.1</v>
      </c>
      <c r="R108" s="128">
        <v>0.04</v>
      </c>
      <c r="S108" s="128">
        <v>0</v>
      </c>
      <c r="T108" s="128">
        <v>0</v>
      </c>
      <c r="U108" s="128">
        <v>0</v>
      </c>
      <c r="V108" s="128">
        <v>0</v>
      </c>
      <c r="W108" s="128">
        <v>0.75</v>
      </c>
      <c r="X108" s="128">
        <v>7.0000000000000007E-2</v>
      </c>
      <c r="Y108" s="128">
        <v>0</v>
      </c>
      <c r="Z108" s="128">
        <v>18.239999999999998</v>
      </c>
    </row>
    <row r="109" spans="1:26" x14ac:dyDescent="0.2">
      <c r="A109" s="634">
        <v>302</v>
      </c>
      <c r="B109" s="128" t="s">
        <v>935</v>
      </c>
      <c r="C109" s="128">
        <v>31</v>
      </c>
      <c r="D109" s="128" t="s">
        <v>936</v>
      </c>
      <c r="E109" s="128" t="s">
        <v>217</v>
      </c>
      <c r="F109" s="128" t="s">
        <v>233</v>
      </c>
      <c r="G109" s="128">
        <v>23</v>
      </c>
      <c r="H109" s="128">
        <v>25</v>
      </c>
      <c r="I109" s="128">
        <v>383.43</v>
      </c>
      <c r="J109" s="633">
        <v>385.93</v>
      </c>
      <c r="K109" s="128">
        <v>0.04</v>
      </c>
      <c r="L109" s="128">
        <v>0.02</v>
      </c>
      <c r="M109" s="128">
        <v>0</v>
      </c>
      <c r="N109" s="128">
        <v>0</v>
      </c>
      <c r="O109" s="128">
        <v>0</v>
      </c>
      <c r="P109" s="128">
        <v>0</v>
      </c>
      <c r="Q109" s="128">
        <v>0.11</v>
      </c>
      <c r="R109" s="128">
        <v>0.04</v>
      </c>
      <c r="S109" s="128">
        <v>0.02</v>
      </c>
      <c r="T109" s="128">
        <v>0</v>
      </c>
      <c r="U109" s="128">
        <v>0</v>
      </c>
      <c r="V109" s="128">
        <v>0</v>
      </c>
      <c r="W109" s="128">
        <v>0.68</v>
      </c>
      <c r="X109" s="128">
        <v>7.0000000000000007E-2</v>
      </c>
      <c r="Y109" s="128">
        <v>0.02</v>
      </c>
      <c r="Z109" s="128">
        <v>17.27</v>
      </c>
    </row>
    <row r="110" spans="1:26" x14ac:dyDescent="0.2">
      <c r="A110" s="634">
        <v>302</v>
      </c>
      <c r="B110" s="128" t="s">
        <v>935</v>
      </c>
      <c r="C110" s="128">
        <v>31</v>
      </c>
      <c r="D110" s="128" t="s">
        <v>936</v>
      </c>
      <c r="E110" s="128" t="s">
        <v>217</v>
      </c>
      <c r="F110" s="128" t="s">
        <v>233</v>
      </c>
      <c r="G110" s="128">
        <v>40</v>
      </c>
      <c r="H110" s="128">
        <v>42</v>
      </c>
      <c r="I110" s="128">
        <v>383.6</v>
      </c>
      <c r="J110" s="633">
        <v>386.1</v>
      </c>
      <c r="K110" s="128">
        <v>0</v>
      </c>
      <c r="L110" s="128">
        <v>0</v>
      </c>
      <c r="M110" s="128">
        <v>0</v>
      </c>
      <c r="N110" s="128">
        <v>0</v>
      </c>
      <c r="O110" s="128">
        <v>0</v>
      </c>
      <c r="P110" s="128">
        <v>0</v>
      </c>
      <c r="Q110" s="128">
        <v>0.09</v>
      </c>
      <c r="R110" s="128">
        <v>0.03</v>
      </c>
      <c r="S110" s="128">
        <v>0</v>
      </c>
      <c r="T110" s="128">
        <v>0</v>
      </c>
      <c r="U110" s="128">
        <v>0</v>
      </c>
      <c r="V110" s="128">
        <v>0</v>
      </c>
      <c r="W110" s="128">
        <v>0.78</v>
      </c>
      <c r="X110" s="128">
        <v>0.08</v>
      </c>
      <c r="Y110" s="128">
        <v>0.02</v>
      </c>
      <c r="Z110" s="128">
        <v>19.98</v>
      </c>
    </row>
    <row r="111" spans="1:26" x14ac:dyDescent="0.2">
      <c r="A111" s="634">
        <v>302</v>
      </c>
      <c r="B111" s="128" t="s">
        <v>935</v>
      </c>
      <c r="C111" s="128">
        <v>32</v>
      </c>
      <c r="D111" s="128" t="s">
        <v>936</v>
      </c>
      <c r="E111" s="128">
        <v>1</v>
      </c>
      <c r="F111" s="128" t="s">
        <v>233</v>
      </c>
      <c r="G111" s="128">
        <v>1</v>
      </c>
      <c r="H111" s="128">
        <v>3</v>
      </c>
      <c r="I111" s="128">
        <v>388.01</v>
      </c>
      <c r="J111" s="633">
        <v>388.01</v>
      </c>
      <c r="K111" s="128">
        <v>0.05</v>
      </c>
      <c r="L111" s="128">
        <v>0.03</v>
      </c>
      <c r="M111" s="128">
        <v>0</v>
      </c>
      <c r="N111" s="128">
        <v>0</v>
      </c>
      <c r="O111" s="128">
        <v>0</v>
      </c>
      <c r="P111" s="128">
        <v>0</v>
      </c>
      <c r="Q111" s="128">
        <v>0.14000000000000001</v>
      </c>
      <c r="R111" s="128">
        <v>0.03</v>
      </c>
      <c r="S111" s="128">
        <v>0</v>
      </c>
      <c r="T111" s="128">
        <v>0</v>
      </c>
      <c r="U111" s="128">
        <v>0</v>
      </c>
      <c r="V111" s="128">
        <v>0</v>
      </c>
      <c r="W111" s="128">
        <v>0.67</v>
      </c>
      <c r="X111" s="128">
        <v>0.06</v>
      </c>
      <c r="Y111" s="128">
        <v>0.03</v>
      </c>
      <c r="Z111" s="128">
        <v>16.54</v>
      </c>
    </row>
    <row r="112" spans="1:26" x14ac:dyDescent="0.2">
      <c r="A112" s="634">
        <v>302</v>
      </c>
      <c r="B112" s="128" t="s">
        <v>935</v>
      </c>
      <c r="C112" s="128">
        <v>32</v>
      </c>
      <c r="D112" s="128" t="s">
        <v>936</v>
      </c>
      <c r="E112" s="128">
        <v>1</v>
      </c>
      <c r="F112" s="128" t="s">
        <v>233</v>
      </c>
      <c r="G112" s="128">
        <v>21</v>
      </c>
      <c r="H112" s="128">
        <v>23</v>
      </c>
      <c r="I112" s="128">
        <v>388.21</v>
      </c>
      <c r="J112" s="633">
        <v>388.21</v>
      </c>
      <c r="K112" s="128">
        <v>0.05</v>
      </c>
      <c r="L112" s="128">
        <v>0.03</v>
      </c>
      <c r="M112" s="128">
        <v>0</v>
      </c>
      <c r="N112" s="128">
        <v>0</v>
      </c>
      <c r="O112" s="128">
        <v>0</v>
      </c>
      <c r="P112" s="128">
        <v>0</v>
      </c>
      <c r="Q112" s="128">
        <v>0.17</v>
      </c>
      <c r="R112" s="128">
        <v>0.03</v>
      </c>
      <c r="S112" s="128">
        <v>0.02</v>
      </c>
      <c r="T112" s="128">
        <v>0</v>
      </c>
      <c r="U112" s="128">
        <v>0</v>
      </c>
      <c r="V112" s="128">
        <v>0</v>
      </c>
      <c r="W112" s="128">
        <v>0.63</v>
      </c>
      <c r="X112" s="128">
        <v>0.05</v>
      </c>
      <c r="Y112" s="128">
        <v>0.02</v>
      </c>
      <c r="Z112" s="128">
        <v>14.84</v>
      </c>
    </row>
    <row r="113" spans="1:26" x14ac:dyDescent="0.2">
      <c r="A113" s="634">
        <v>302</v>
      </c>
      <c r="B113" s="128" t="s">
        <v>935</v>
      </c>
      <c r="C113" s="128">
        <v>32</v>
      </c>
      <c r="D113" s="128" t="s">
        <v>936</v>
      </c>
      <c r="E113" s="128">
        <v>1</v>
      </c>
      <c r="F113" s="128" t="s">
        <v>233</v>
      </c>
      <c r="G113" s="128">
        <v>41</v>
      </c>
      <c r="H113" s="128">
        <v>43</v>
      </c>
      <c r="I113" s="128">
        <v>388.41</v>
      </c>
      <c r="J113" s="633">
        <v>388.41</v>
      </c>
      <c r="K113" s="128">
        <v>0.06</v>
      </c>
      <c r="L113" s="128">
        <v>0.04</v>
      </c>
      <c r="M113" s="128">
        <v>0</v>
      </c>
      <c r="N113" s="128">
        <v>0</v>
      </c>
      <c r="O113" s="128">
        <v>0</v>
      </c>
      <c r="P113" s="128">
        <v>0</v>
      </c>
      <c r="Q113" s="128">
        <v>0.18</v>
      </c>
      <c r="R113" s="128">
        <v>0</v>
      </c>
      <c r="S113" s="128">
        <v>0</v>
      </c>
      <c r="T113" s="128">
        <v>0</v>
      </c>
      <c r="U113" s="128">
        <v>0</v>
      </c>
      <c r="V113" s="128">
        <v>0</v>
      </c>
      <c r="W113" s="128">
        <v>0.67</v>
      </c>
      <c r="X113" s="128">
        <v>0.05</v>
      </c>
      <c r="Y113" s="128">
        <v>0</v>
      </c>
      <c r="Z113" s="128">
        <v>15.04</v>
      </c>
    </row>
    <row r="114" spans="1:26" x14ac:dyDescent="0.2">
      <c r="A114" s="634">
        <v>302</v>
      </c>
      <c r="B114" s="128" t="s">
        <v>935</v>
      </c>
      <c r="C114" s="128">
        <v>32</v>
      </c>
      <c r="D114" s="128" t="s">
        <v>216</v>
      </c>
      <c r="E114" s="128">
        <v>1</v>
      </c>
      <c r="F114" s="128" t="s">
        <v>233</v>
      </c>
      <c r="G114" s="128">
        <v>61</v>
      </c>
      <c r="H114" s="128">
        <v>62</v>
      </c>
      <c r="I114" s="633">
        <v>388.61</v>
      </c>
      <c r="J114" s="128">
        <v>388.61</v>
      </c>
      <c r="K114" s="128">
        <v>0.05</v>
      </c>
      <c r="L114" s="128">
        <v>0.03</v>
      </c>
      <c r="M114" s="128">
        <v>0</v>
      </c>
      <c r="N114" s="128">
        <v>0</v>
      </c>
      <c r="O114" s="128">
        <v>0</v>
      </c>
      <c r="P114" s="128">
        <v>0</v>
      </c>
      <c r="Q114" s="128">
        <v>0.18</v>
      </c>
      <c r="R114" s="128">
        <v>0.02</v>
      </c>
      <c r="S114" s="128">
        <v>0.02</v>
      </c>
      <c r="T114" s="128">
        <v>0</v>
      </c>
      <c r="U114" s="128">
        <v>0</v>
      </c>
      <c r="V114" s="128">
        <v>0</v>
      </c>
      <c r="W114" s="128">
        <v>0.62</v>
      </c>
      <c r="X114" s="128">
        <v>0.05</v>
      </c>
      <c r="Y114" s="128">
        <v>0.03</v>
      </c>
      <c r="Z114" s="128">
        <v>14.38</v>
      </c>
    </row>
    <row r="115" spans="1:26" x14ac:dyDescent="0.2">
      <c r="A115" s="634">
        <v>302</v>
      </c>
      <c r="B115" s="128" t="s">
        <v>935</v>
      </c>
      <c r="C115" s="128">
        <v>32</v>
      </c>
      <c r="D115" s="128" t="s">
        <v>216</v>
      </c>
      <c r="E115" s="128">
        <v>1</v>
      </c>
      <c r="F115" s="128" t="s">
        <v>233</v>
      </c>
      <c r="G115" s="128">
        <v>81</v>
      </c>
      <c r="H115" s="128">
        <v>82</v>
      </c>
      <c r="I115" s="633">
        <v>388.81</v>
      </c>
      <c r="J115" s="128">
        <v>388.81</v>
      </c>
      <c r="K115" s="128">
        <v>0.06</v>
      </c>
      <c r="L115" s="128">
        <v>0.03</v>
      </c>
      <c r="M115" s="128">
        <v>0</v>
      </c>
      <c r="N115" s="128">
        <v>0</v>
      </c>
      <c r="O115" s="128">
        <v>0</v>
      </c>
      <c r="P115" s="128">
        <v>0</v>
      </c>
      <c r="Q115" s="128">
        <v>0.17</v>
      </c>
      <c r="R115" s="128">
        <v>0.02</v>
      </c>
      <c r="S115" s="128">
        <v>0.02</v>
      </c>
      <c r="T115" s="128">
        <v>0.01</v>
      </c>
      <c r="U115" s="128">
        <v>0.01</v>
      </c>
      <c r="V115" s="128">
        <v>0</v>
      </c>
      <c r="W115" s="128">
        <v>0.61</v>
      </c>
      <c r="X115" s="128">
        <v>0.05</v>
      </c>
      <c r="Y115" s="128">
        <v>0.03</v>
      </c>
      <c r="Z115" s="128">
        <v>14.47</v>
      </c>
    </row>
    <row r="116" spans="1:26" x14ac:dyDescent="0.2">
      <c r="A116" s="634">
        <v>302</v>
      </c>
      <c r="B116" s="128" t="s">
        <v>935</v>
      </c>
      <c r="C116" s="128">
        <v>32</v>
      </c>
      <c r="D116" s="128" t="s">
        <v>216</v>
      </c>
      <c r="E116" s="128">
        <v>1</v>
      </c>
      <c r="F116" s="128" t="s">
        <v>233</v>
      </c>
      <c r="G116" s="128">
        <v>101</v>
      </c>
      <c r="H116" s="128">
        <v>102</v>
      </c>
      <c r="I116" s="633">
        <v>389.01</v>
      </c>
      <c r="J116" s="128">
        <v>389.01</v>
      </c>
      <c r="K116" s="128">
        <v>7.0000000000000007E-2</v>
      </c>
      <c r="L116" s="128">
        <v>0.04</v>
      </c>
      <c r="M116" s="128">
        <v>0</v>
      </c>
      <c r="N116" s="128">
        <v>0</v>
      </c>
      <c r="O116" s="128">
        <v>0</v>
      </c>
      <c r="P116" s="128">
        <v>0</v>
      </c>
      <c r="Q116" s="128">
        <v>0.19</v>
      </c>
      <c r="R116" s="128">
        <v>0.03</v>
      </c>
      <c r="S116" s="128">
        <v>0</v>
      </c>
      <c r="T116" s="128">
        <v>0</v>
      </c>
      <c r="U116" s="128">
        <v>0</v>
      </c>
      <c r="V116" s="128">
        <v>0</v>
      </c>
      <c r="W116" s="128">
        <v>0.67</v>
      </c>
      <c r="X116" s="128">
        <v>0</v>
      </c>
      <c r="Y116" s="128">
        <v>0</v>
      </c>
      <c r="Z116" s="128">
        <v>14.14</v>
      </c>
    </row>
    <row r="117" spans="1:26" x14ac:dyDescent="0.2">
      <c r="A117" s="634">
        <v>302</v>
      </c>
      <c r="B117" s="128" t="s">
        <v>935</v>
      </c>
      <c r="C117" s="128">
        <v>32</v>
      </c>
      <c r="D117" s="128" t="s">
        <v>216</v>
      </c>
      <c r="E117" s="128">
        <v>1</v>
      </c>
      <c r="F117" s="128" t="s">
        <v>233</v>
      </c>
      <c r="G117" s="128">
        <v>121</v>
      </c>
      <c r="H117" s="128">
        <v>122</v>
      </c>
      <c r="I117" s="633">
        <v>389.21</v>
      </c>
      <c r="J117" s="128">
        <v>389.21</v>
      </c>
      <c r="K117" s="128">
        <v>0.06</v>
      </c>
      <c r="L117" s="128">
        <v>0.03</v>
      </c>
      <c r="M117" s="128">
        <v>0</v>
      </c>
      <c r="N117" s="128">
        <v>0</v>
      </c>
      <c r="O117" s="128">
        <v>0</v>
      </c>
      <c r="P117" s="128">
        <v>0</v>
      </c>
      <c r="Q117" s="128">
        <v>0.19</v>
      </c>
      <c r="R117" s="128">
        <v>0.03</v>
      </c>
      <c r="S117" s="128">
        <v>0</v>
      </c>
      <c r="T117" s="128">
        <v>0</v>
      </c>
      <c r="U117" s="128">
        <v>0</v>
      </c>
      <c r="V117" s="128">
        <v>0</v>
      </c>
      <c r="W117" s="128">
        <v>0.63</v>
      </c>
      <c r="X117" s="128">
        <v>0.05</v>
      </c>
      <c r="Y117" s="128">
        <v>0.02</v>
      </c>
      <c r="Z117" s="128">
        <v>14.65</v>
      </c>
    </row>
    <row r="118" spans="1:26" x14ac:dyDescent="0.2">
      <c r="A118" s="634">
        <v>302</v>
      </c>
      <c r="B118" s="128" t="s">
        <v>935</v>
      </c>
      <c r="C118" s="128">
        <v>32</v>
      </c>
      <c r="D118" s="128" t="s">
        <v>216</v>
      </c>
      <c r="E118" s="128">
        <v>1</v>
      </c>
      <c r="F118" s="128" t="s">
        <v>233</v>
      </c>
      <c r="G118" s="128">
        <v>141</v>
      </c>
      <c r="H118" s="128">
        <v>142</v>
      </c>
      <c r="I118" s="633">
        <v>389.41</v>
      </c>
      <c r="J118" s="128">
        <v>389.41</v>
      </c>
      <c r="K118" s="128">
        <v>0</v>
      </c>
      <c r="L118" s="128">
        <v>0</v>
      </c>
      <c r="M118" s="128">
        <v>0</v>
      </c>
      <c r="N118" s="128">
        <v>0</v>
      </c>
      <c r="O118" s="128">
        <v>0</v>
      </c>
      <c r="P118" s="128">
        <v>0</v>
      </c>
      <c r="Q118" s="128">
        <v>0.19</v>
      </c>
      <c r="R118" s="128">
        <v>0</v>
      </c>
      <c r="S118" s="128">
        <v>0</v>
      </c>
      <c r="T118" s="128">
        <v>0</v>
      </c>
      <c r="U118" s="128">
        <v>0</v>
      </c>
      <c r="V118" s="128">
        <v>0</v>
      </c>
      <c r="W118" s="128">
        <v>0.81</v>
      </c>
      <c r="X118" s="128">
        <v>0</v>
      </c>
      <c r="Y118" s="128">
        <v>0</v>
      </c>
      <c r="Z118" s="128">
        <v>16.89</v>
      </c>
    </row>
    <row r="119" spans="1:26" x14ac:dyDescent="0.2">
      <c r="A119" s="634">
        <v>302</v>
      </c>
      <c r="B119" s="128" t="s">
        <v>935</v>
      </c>
      <c r="C119" s="128">
        <v>32</v>
      </c>
      <c r="D119" s="128" t="s">
        <v>216</v>
      </c>
      <c r="E119" s="128">
        <v>2</v>
      </c>
      <c r="F119" s="128" t="s">
        <v>233</v>
      </c>
      <c r="G119" s="128">
        <v>1</v>
      </c>
      <c r="H119" s="128">
        <v>2</v>
      </c>
      <c r="I119" s="633">
        <v>389.51</v>
      </c>
      <c r="J119" s="128">
        <v>389.51</v>
      </c>
      <c r="K119" s="128">
        <v>0.05</v>
      </c>
      <c r="L119" s="128">
        <v>0.04</v>
      </c>
      <c r="M119" s="128">
        <v>0</v>
      </c>
      <c r="N119" s="128">
        <v>0</v>
      </c>
      <c r="O119" s="128">
        <v>0</v>
      </c>
      <c r="P119" s="128">
        <v>0</v>
      </c>
      <c r="Q119" s="128">
        <v>0.18</v>
      </c>
      <c r="R119" s="128">
        <v>0.02</v>
      </c>
      <c r="S119" s="128">
        <v>0.02</v>
      </c>
      <c r="T119" s="128">
        <v>0</v>
      </c>
      <c r="U119" s="128">
        <v>0</v>
      </c>
      <c r="V119" s="128">
        <v>0</v>
      </c>
      <c r="W119" s="128">
        <v>0.61</v>
      </c>
      <c r="X119" s="128">
        <v>0.05</v>
      </c>
      <c r="Y119" s="128">
        <v>0.02</v>
      </c>
      <c r="Z119" s="128">
        <v>14.32</v>
      </c>
    </row>
    <row r="120" spans="1:26" x14ac:dyDescent="0.2">
      <c r="A120" s="634">
        <v>302</v>
      </c>
      <c r="B120" s="128" t="s">
        <v>935</v>
      </c>
      <c r="C120" s="128">
        <v>32</v>
      </c>
      <c r="D120" s="128" t="s">
        <v>216</v>
      </c>
      <c r="E120" s="128">
        <v>2</v>
      </c>
      <c r="F120" s="128" t="s">
        <v>233</v>
      </c>
      <c r="G120" s="128">
        <v>21</v>
      </c>
      <c r="H120" s="128">
        <v>22</v>
      </c>
      <c r="I120" s="633">
        <v>389.71</v>
      </c>
      <c r="J120" s="128">
        <v>389.71</v>
      </c>
      <c r="K120" s="128">
        <v>0.06</v>
      </c>
      <c r="L120" s="128">
        <v>0.04</v>
      </c>
      <c r="M120" s="128">
        <v>0</v>
      </c>
      <c r="N120" s="128">
        <v>0</v>
      </c>
      <c r="O120" s="128">
        <v>0</v>
      </c>
      <c r="P120" s="128">
        <v>0</v>
      </c>
      <c r="Q120" s="128">
        <v>0.19</v>
      </c>
      <c r="R120" s="128">
        <v>0.03</v>
      </c>
      <c r="S120" s="128">
        <v>0.02</v>
      </c>
      <c r="T120" s="128">
        <v>0</v>
      </c>
      <c r="U120" s="128">
        <v>0</v>
      </c>
      <c r="V120" s="128">
        <v>0</v>
      </c>
      <c r="W120" s="128">
        <v>0.59</v>
      </c>
      <c r="X120" s="128">
        <v>0.05</v>
      </c>
      <c r="Y120" s="128">
        <v>0.02</v>
      </c>
      <c r="Z120" s="128">
        <v>14.02</v>
      </c>
    </row>
    <row r="121" spans="1:26" x14ac:dyDescent="0.2">
      <c r="A121" s="634">
        <v>302</v>
      </c>
      <c r="B121" s="128" t="s">
        <v>935</v>
      </c>
      <c r="C121" s="128">
        <v>32</v>
      </c>
      <c r="D121" s="128" t="s">
        <v>216</v>
      </c>
      <c r="E121" s="128">
        <v>2</v>
      </c>
      <c r="F121" s="128" t="s">
        <v>233</v>
      </c>
      <c r="G121" s="128">
        <v>41</v>
      </c>
      <c r="H121" s="128">
        <v>42</v>
      </c>
      <c r="I121" s="633">
        <v>389.91</v>
      </c>
      <c r="J121" s="128">
        <v>389.91</v>
      </c>
      <c r="K121" s="128">
        <v>0.06</v>
      </c>
      <c r="L121" s="128">
        <v>0.04</v>
      </c>
      <c r="M121" s="128">
        <v>0</v>
      </c>
      <c r="N121" s="128">
        <v>0</v>
      </c>
      <c r="O121" s="128">
        <v>0</v>
      </c>
      <c r="P121" s="128">
        <v>0</v>
      </c>
      <c r="Q121" s="128">
        <v>0.18</v>
      </c>
      <c r="R121" s="128">
        <v>0.03</v>
      </c>
      <c r="S121" s="128">
        <v>0.02</v>
      </c>
      <c r="T121" s="128">
        <v>0.01</v>
      </c>
      <c r="U121" s="128">
        <v>0.01</v>
      </c>
      <c r="V121" s="128">
        <v>0</v>
      </c>
      <c r="W121" s="128">
        <v>0.59</v>
      </c>
      <c r="X121" s="128">
        <v>0.05</v>
      </c>
      <c r="Y121" s="128">
        <v>0.02</v>
      </c>
      <c r="Z121" s="128">
        <v>13.85</v>
      </c>
    </row>
    <row r="122" spans="1:26" x14ac:dyDescent="0.2">
      <c r="A122" s="634">
        <v>302</v>
      </c>
      <c r="B122" s="128" t="s">
        <v>935</v>
      </c>
      <c r="C122" s="128">
        <v>32</v>
      </c>
      <c r="D122" s="128" t="s">
        <v>216</v>
      </c>
      <c r="E122" s="128">
        <v>2</v>
      </c>
      <c r="F122" s="128" t="s">
        <v>233</v>
      </c>
      <c r="G122" s="128">
        <v>61</v>
      </c>
      <c r="H122" s="128">
        <v>62</v>
      </c>
      <c r="I122" s="633">
        <v>390.11</v>
      </c>
      <c r="J122" s="128">
        <v>390.11</v>
      </c>
      <c r="K122" s="128">
        <v>0.06</v>
      </c>
      <c r="L122" s="128">
        <v>0.03</v>
      </c>
      <c r="M122" s="128">
        <v>0</v>
      </c>
      <c r="N122" s="128">
        <v>0</v>
      </c>
      <c r="O122" s="128">
        <v>0</v>
      </c>
      <c r="P122" s="128">
        <v>0</v>
      </c>
      <c r="Q122" s="128">
        <v>0.19</v>
      </c>
      <c r="R122" s="128">
        <v>0.02</v>
      </c>
      <c r="S122" s="128">
        <v>0.02</v>
      </c>
      <c r="T122" s="128">
        <v>0</v>
      </c>
      <c r="U122" s="128">
        <v>0</v>
      </c>
      <c r="V122" s="128">
        <v>0</v>
      </c>
      <c r="W122" s="128">
        <v>0.6</v>
      </c>
      <c r="X122" s="128">
        <v>0.06</v>
      </c>
      <c r="Y122" s="128">
        <v>0.03</v>
      </c>
      <c r="Z122" s="128">
        <v>14.14</v>
      </c>
    </row>
    <row r="123" spans="1:26" x14ac:dyDescent="0.2">
      <c r="A123" s="634">
        <v>302</v>
      </c>
      <c r="B123" s="128" t="s">
        <v>935</v>
      </c>
      <c r="C123" s="128">
        <v>32</v>
      </c>
      <c r="D123" s="128" t="s">
        <v>216</v>
      </c>
      <c r="E123" s="128">
        <v>2</v>
      </c>
      <c r="F123" s="128" t="s">
        <v>233</v>
      </c>
      <c r="G123" s="128">
        <v>81</v>
      </c>
      <c r="H123" s="128">
        <v>82</v>
      </c>
      <c r="I123" s="633">
        <v>390.31</v>
      </c>
      <c r="J123" s="128">
        <v>390.31</v>
      </c>
      <c r="K123" s="128">
        <v>0.06</v>
      </c>
      <c r="L123" s="128">
        <v>0.04</v>
      </c>
      <c r="M123" s="128">
        <v>0</v>
      </c>
      <c r="N123" s="128">
        <v>0</v>
      </c>
      <c r="O123" s="128">
        <v>0</v>
      </c>
      <c r="P123" s="128">
        <v>0</v>
      </c>
      <c r="Q123" s="128">
        <v>0.17</v>
      </c>
      <c r="R123" s="128">
        <v>0.03</v>
      </c>
      <c r="S123" s="128">
        <v>0.02</v>
      </c>
      <c r="T123" s="128">
        <v>0</v>
      </c>
      <c r="U123" s="128">
        <v>0</v>
      </c>
      <c r="V123" s="128">
        <v>0</v>
      </c>
      <c r="W123" s="128">
        <v>0.61</v>
      </c>
      <c r="X123" s="128">
        <v>0.05</v>
      </c>
      <c r="Y123" s="128">
        <v>0.03</v>
      </c>
      <c r="Z123" s="128">
        <v>14.54</v>
      </c>
    </row>
    <row r="124" spans="1:26" x14ac:dyDescent="0.2">
      <c r="A124" s="634">
        <v>302</v>
      </c>
      <c r="B124" s="128" t="s">
        <v>935</v>
      </c>
      <c r="C124" s="128">
        <v>32</v>
      </c>
      <c r="D124" s="128" t="s">
        <v>216</v>
      </c>
      <c r="E124" s="128">
        <v>2</v>
      </c>
      <c r="F124" s="128" t="s">
        <v>233</v>
      </c>
      <c r="G124" s="128">
        <v>101</v>
      </c>
      <c r="H124" s="128">
        <v>102</v>
      </c>
      <c r="I124" s="633">
        <v>390.51</v>
      </c>
      <c r="J124" s="128">
        <v>390.51</v>
      </c>
      <c r="K124" s="128">
        <v>0.06</v>
      </c>
      <c r="L124" s="128">
        <v>0.04</v>
      </c>
      <c r="M124" s="128">
        <v>0</v>
      </c>
      <c r="N124" s="128">
        <v>0</v>
      </c>
      <c r="O124" s="128">
        <v>0</v>
      </c>
      <c r="P124" s="128">
        <v>0</v>
      </c>
      <c r="Q124" s="128">
        <v>0.2</v>
      </c>
      <c r="R124" s="128">
        <v>0.02</v>
      </c>
      <c r="S124" s="128">
        <v>0</v>
      </c>
      <c r="T124" s="128">
        <v>0</v>
      </c>
      <c r="U124" s="128">
        <v>0</v>
      </c>
      <c r="V124" s="128">
        <v>0</v>
      </c>
      <c r="W124" s="128">
        <v>0.68</v>
      </c>
      <c r="X124" s="128">
        <v>0</v>
      </c>
      <c r="Y124" s="128">
        <v>0</v>
      </c>
      <c r="Z124" s="128">
        <v>14.29</v>
      </c>
    </row>
    <row r="125" spans="1:26" x14ac:dyDescent="0.2">
      <c r="A125" s="634">
        <v>302</v>
      </c>
      <c r="B125" s="128" t="s">
        <v>935</v>
      </c>
      <c r="C125" s="128">
        <v>32</v>
      </c>
      <c r="D125" s="128" t="s">
        <v>216</v>
      </c>
      <c r="E125" s="128">
        <v>2</v>
      </c>
      <c r="F125" s="128" t="s">
        <v>233</v>
      </c>
      <c r="G125" s="128">
        <v>121</v>
      </c>
      <c r="H125" s="128">
        <v>122</v>
      </c>
      <c r="I125" s="633">
        <v>390.71</v>
      </c>
      <c r="J125" s="128">
        <v>390.71</v>
      </c>
      <c r="K125" s="128">
        <v>0.06</v>
      </c>
      <c r="L125" s="128">
        <v>0.04</v>
      </c>
      <c r="M125" s="128">
        <v>0</v>
      </c>
      <c r="N125" s="128">
        <v>0</v>
      </c>
      <c r="O125" s="128">
        <v>0</v>
      </c>
      <c r="P125" s="128">
        <v>0</v>
      </c>
      <c r="Q125" s="128">
        <v>0.16</v>
      </c>
      <c r="R125" s="128">
        <v>0</v>
      </c>
      <c r="S125" s="128">
        <v>0</v>
      </c>
      <c r="T125" s="128">
        <v>0</v>
      </c>
      <c r="U125" s="128">
        <v>0</v>
      </c>
      <c r="V125" s="128">
        <v>0</v>
      </c>
      <c r="W125" s="128">
        <v>0.7</v>
      </c>
      <c r="X125" s="128">
        <v>0.05</v>
      </c>
      <c r="Y125" s="128">
        <v>0</v>
      </c>
      <c r="Z125" s="128">
        <v>15.79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S22"/>
  <sheetViews>
    <sheetView workbookViewId="0">
      <selection activeCell="B3" sqref="B3:B20"/>
    </sheetView>
  </sheetViews>
  <sheetFormatPr baseColWidth="10" defaultColWidth="8.83203125" defaultRowHeight="15" x14ac:dyDescent="0.2"/>
  <sheetData>
    <row r="1" spans="2:19" ht="16" thickBot="1" x14ac:dyDescent="0.25"/>
    <row r="2" spans="2:19" ht="64" thickBot="1" x14ac:dyDescent="0.25">
      <c r="B2" s="514" t="s">
        <v>208</v>
      </c>
      <c r="C2" s="515" t="s">
        <v>822</v>
      </c>
      <c r="D2" s="516" t="s">
        <v>823</v>
      </c>
      <c r="E2" s="516" t="s">
        <v>185</v>
      </c>
      <c r="F2" s="515" t="s">
        <v>824</v>
      </c>
      <c r="G2" s="515" t="s">
        <v>825</v>
      </c>
      <c r="H2" s="515" t="s">
        <v>627</v>
      </c>
      <c r="I2" s="515" t="s">
        <v>826</v>
      </c>
      <c r="J2" s="516" t="s">
        <v>629</v>
      </c>
      <c r="K2" s="515" t="s">
        <v>827</v>
      </c>
      <c r="L2" s="515" t="s">
        <v>828</v>
      </c>
      <c r="M2" s="516" t="s">
        <v>829</v>
      </c>
      <c r="N2" s="515" t="s">
        <v>830</v>
      </c>
      <c r="O2" s="515" t="s">
        <v>831</v>
      </c>
      <c r="P2" s="516" t="s">
        <v>832</v>
      </c>
      <c r="Q2" s="515" t="s">
        <v>624</v>
      </c>
      <c r="R2" s="515" t="s">
        <v>833</v>
      </c>
      <c r="S2" s="517" t="s">
        <v>626</v>
      </c>
    </row>
    <row r="3" spans="2:19" x14ac:dyDescent="0.2">
      <c r="B3" s="510">
        <v>913</v>
      </c>
      <c r="C3" s="511">
        <v>650.39</v>
      </c>
      <c r="D3" s="512">
        <v>46.972447000000003</v>
      </c>
      <c r="E3" s="512"/>
      <c r="F3" s="513">
        <v>29</v>
      </c>
      <c r="G3" s="513">
        <v>21</v>
      </c>
      <c r="H3" s="512">
        <v>12.95</v>
      </c>
      <c r="I3" s="512">
        <v>12.95</v>
      </c>
      <c r="J3" s="512">
        <v>3.65</v>
      </c>
      <c r="K3" s="512">
        <v>6.5</v>
      </c>
      <c r="L3" s="512">
        <v>6.5</v>
      </c>
      <c r="M3" s="512">
        <v>1.6</v>
      </c>
      <c r="N3" s="512">
        <v>22.2</v>
      </c>
      <c r="O3" s="512">
        <v>22.2</v>
      </c>
      <c r="P3" s="512">
        <v>2.2000000000000002</v>
      </c>
      <c r="Q3" s="512">
        <v>1240.5</v>
      </c>
      <c r="R3" s="512">
        <v>1240.5</v>
      </c>
      <c r="S3" s="512">
        <v>336.5</v>
      </c>
    </row>
    <row r="4" spans="2:19" x14ac:dyDescent="0.2">
      <c r="B4" s="510">
        <v>913</v>
      </c>
      <c r="C4" s="511">
        <v>651.89</v>
      </c>
      <c r="D4" s="512">
        <v>47.043396999999999</v>
      </c>
      <c r="E4" s="512"/>
      <c r="F4" s="513">
        <v>28</v>
      </c>
      <c r="G4" s="513">
        <v>16</v>
      </c>
      <c r="H4" s="512">
        <v>13.9</v>
      </c>
      <c r="I4" s="512">
        <v>13.9</v>
      </c>
      <c r="J4" s="512">
        <v>3.45</v>
      </c>
      <c r="K4" s="512">
        <v>7.5250000000000004</v>
      </c>
      <c r="L4" s="512">
        <v>7.5250000000000004</v>
      </c>
      <c r="M4" s="512">
        <v>2.375</v>
      </c>
      <c r="N4" s="512">
        <v>22.2</v>
      </c>
      <c r="O4" s="512">
        <v>22.2</v>
      </c>
      <c r="P4" s="512">
        <v>0.30000000000000071</v>
      </c>
      <c r="Q4" s="512">
        <v>1223</v>
      </c>
      <c r="R4" s="512">
        <v>1223</v>
      </c>
      <c r="S4" s="512">
        <v>380.5</v>
      </c>
    </row>
    <row r="5" spans="2:19" x14ac:dyDescent="0.2">
      <c r="B5" s="510">
        <v>913</v>
      </c>
      <c r="C5" s="511">
        <v>653.39</v>
      </c>
      <c r="D5" s="512">
        <v>47.114346999999995</v>
      </c>
      <c r="E5" s="512"/>
      <c r="F5" s="513">
        <v>18</v>
      </c>
      <c r="G5" s="513">
        <v>10</v>
      </c>
      <c r="H5" s="512">
        <v>15.545</v>
      </c>
      <c r="I5" s="512"/>
      <c r="J5" s="512"/>
      <c r="K5" s="512">
        <v>8.6300000000000008</v>
      </c>
      <c r="L5" s="512"/>
      <c r="M5" s="512"/>
      <c r="N5" s="512">
        <v>21.555</v>
      </c>
      <c r="O5" s="512"/>
      <c r="P5" s="512"/>
      <c r="Q5" s="512">
        <v>1198.3</v>
      </c>
      <c r="R5" s="512"/>
      <c r="S5" s="512"/>
    </row>
    <row r="6" spans="2:19" x14ac:dyDescent="0.2">
      <c r="B6" s="510">
        <v>913</v>
      </c>
      <c r="C6" s="511">
        <v>655.73</v>
      </c>
      <c r="D6" s="512">
        <v>47.225029000000006</v>
      </c>
      <c r="E6" s="512"/>
      <c r="F6" s="513">
        <v>19</v>
      </c>
      <c r="G6" s="513">
        <v>13</v>
      </c>
      <c r="H6" s="512">
        <v>14.56</v>
      </c>
      <c r="I6" s="512">
        <v>14.56</v>
      </c>
      <c r="J6" s="512">
        <v>2.16</v>
      </c>
      <c r="K6" s="512">
        <v>6.9</v>
      </c>
      <c r="L6" s="512">
        <v>6.9</v>
      </c>
      <c r="M6" s="512">
        <v>1.92</v>
      </c>
      <c r="N6" s="512">
        <v>24.62</v>
      </c>
      <c r="O6" s="512">
        <v>24.62</v>
      </c>
      <c r="P6" s="512">
        <v>1.22</v>
      </c>
      <c r="Q6" s="512">
        <v>1189</v>
      </c>
      <c r="R6" s="512">
        <v>1189</v>
      </c>
      <c r="S6" s="512">
        <v>374.4</v>
      </c>
    </row>
    <row r="7" spans="2:19" x14ac:dyDescent="0.2">
      <c r="B7" s="510">
        <v>913</v>
      </c>
      <c r="C7" s="511">
        <v>657.04</v>
      </c>
      <c r="D7" s="512">
        <v>47.243439999999993</v>
      </c>
      <c r="E7" s="512"/>
      <c r="F7" s="513">
        <v>19</v>
      </c>
      <c r="G7" s="513">
        <v>12</v>
      </c>
      <c r="H7" s="512">
        <v>12.904999999999999</v>
      </c>
      <c r="I7" s="512">
        <v>12.904999999999999</v>
      </c>
      <c r="J7" s="512">
        <v>3.605</v>
      </c>
      <c r="K7" s="512">
        <v>8.66</v>
      </c>
      <c r="L7" s="512">
        <v>8.66</v>
      </c>
      <c r="M7" s="512">
        <v>-0.20000000000000284</v>
      </c>
      <c r="N7" s="512">
        <v>24.25</v>
      </c>
      <c r="O7" s="512">
        <v>24.25</v>
      </c>
      <c r="P7" s="512">
        <v>0.35000000000000142</v>
      </c>
      <c r="Q7" s="512">
        <v>1171.3499999999999</v>
      </c>
      <c r="R7" s="512">
        <v>1171.3499999999999</v>
      </c>
      <c r="S7" s="512">
        <v>390.35</v>
      </c>
    </row>
    <row r="8" spans="2:19" x14ac:dyDescent="0.2">
      <c r="B8" s="510">
        <v>913</v>
      </c>
      <c r="C8" s="511">
        <v>660.04</v>
      </c>
      <c r="D8" s="512">
        <v>47.351439999999997</v>
      </c>
      <c r="E8" s="512"/>
      <c r="F8" s="513">
        <v>20</v>
      </c>
      <c r="G8" s="513">
        <v>13</v>
      </c>
      <c r="H8" s="512">
        <v>15.44</v>
      </c>
      <c r="I8" s="512">
        <v>15.44</v>
      </c>
      <c r="J8" s="512">
        <v>3.04</v>
      </c>
      <c r="K8" s="512">
        <v>6.23</v>
      </c>
      <c r="L8" s="512">
        <v>6.23</v>
      </c>
      <c r="M8" s="512">
        <v>-2.23</v>
      </c>
      <c r="N8" s="512">
        <v>20.190000000000001</v>
      </c>
      <c r="O8" s="512">
        <v>20.190000000000001</v>
      </c>
      <c r="P8" s="512">
        <v>1.17</v>
      </c>
      <c r="Q8" s="512">
        <v>1199.5</v>
      </c>
      <c r="R8" s="512">
        <v>1199.5</v>
      </c>
      <c r="S8" s="512">
        <v>388.1</v>
      </c>
    </row>
    <row r="9" spans="2:19" x14ac:dyDescent="0.2">
      <c r="B9" s="510">
        <v>913</v>
      </c>
      <c r="C9" s="511">
        <v>661.54</v>
      </c>
      <c r="D9" s="512">
        <v>47.405439999999999</v>
      </c>
      <c r="E9" s="512"/>
      <c r="F9" s="513">
        <v>21</v>
      </c>
      <c r="G9" s="513">
        <v>14</v>
      </c>
      <c r="H9" s="512">
        <v>14.59</v>
      </c>
      <c r="I9" s="512">
        <v>14.59</v>
      </c>
      <c r="J9" s="512">
        <v>5.29</v>
      </c>
      <c r="K9" s="512">
        <v>8.42</v>
      </c>
      <c r="L9" s="512">
        <v>8.42</v>
      </c>
      <c r="M9" s="512">
        <v>0.43999999999999595</v>
      </c>
      <c r="N9" s="512">
        <v>22.524999999999999</v>
      </c>
      <c r="O9" s="512">
        <v>22.524999999999999</v>
      </c>
      <c r="P9" s="512">
        <v>-1.0649999999999999</v>
      </c>
      <c r="Q9" s="512">
        <v>1267</v>
      </c>
      <c r="R9" s="512">
        <v>1267</v>
      </c>
      <c r="S9" s="512">
        <v>399.9</v>
      </c>
    </row>
    <row r="10" spans="2:19" x14ac:dyDescent="0.2">
      <c r="B10" s="510">
        <v>913</v>
      </c>
      <c r="C10" s="511">
        <v>675.13</v>
      </c>
      <c r="D10" s="512">
        <v>47.894679999999994</v>
      </c>
      <c r="E10" s="512"/>
      <c r="F10" s="513">
        <v>22</v>
      </c>
      <c r="G10" s="513">
        <v>8</v>
      </c>
      <c r="H10" s="512">
        <v>12.895</v>
      </c>
      <c r="I10" s="512"/>
      <c r="J10" s="512"/>
      <c r="K10" s="512">
        <v>8.2750000000000004</v>
      </c>
      <c r="L10" s="512"/>
      <c r="M10" s="512"/>
      <c r="N10" s="512">
        <v>21.32</v>
      </c>
      <c r="O10" s="512"/>
      <c r="P10" s="512"/>
      <c r="Q10" s="512">
        <v>1174.8499999999999</v>
      </c>
      <c r="R10" s="512"/>
      <c r="S10" s="512"/>
    </row>
    <row r="11" spans="2:19" x14ac:dyDescent="0.2">
      <c r="B11" s="510">
        <v>913</v>
      </c>
      <c r="C11" s="511">
        <v>676.63</v>
      </c>
      <c r="D11" s="512">
        <v>47.948679999999996</v>
      </c>
      <c r="E11" s="512"/>
      <c r="F11" s="513">
        <v>23</v>
      </c>
      <c r="G11" s="513">
        <v>14</v>
      </c>
      <c r="H11" s="512">
        <v>14.215</v>
      </c>
      <c r="I11" s="512">
        <v>14.215</v>
      </c>
      <c r="J11" s="512">
        <v>4.915</v>
      </c>
      <c r="K11" s="512">
        <v>9.8550000000000004</v>
      </c>
      <c r="L11" s="512">
        <v>9.8550000000000004</v>
      </c>
      <c r="M11" s="512">
        <v>1.875</v>
      </c>
      <c r="N11" s="512">
        <v>22.02</v>
      </c>
      <c r="O11" s="512">
        <v>22.02</v>
      </c>
      <c r="P11" s="512">
        <v>-0.28000000000000114</v>
      </c>
      <c r="Q11" s="512">
        <v>1224.05</v>
      </c>
      <c r="R11" s="512">
        <v>1224.05</v>
      </c>
      <c r="S11" s="512">
        <v>356.95</v>
      </c>
    </row>
    <row r="12" spans="2:19" x14ac:dyDescent="0.2">
      <c r="B12" s="510">
        <v>913</v>
      </c>
      <c r="C12" s="511">
        <v>684.73</v>
      </c>
      <c r="D12" s="512">
        <v>48.240279999999998</v>
      </c>
      <c r="E12" s="512"/>
      <c r="F12" s="513">
        <v>31</v>
      </c>
      <c r="G12" s="513">
        <v>22</v>
      </c>
      <c r="H12" s="512">
        <v>13.04</v>
      </c>
      <c r="I12" s="512">
        <v>13.04</v>
      </c>
      <c r="J12" s="512">
        <v>3.74</v>
      </c>
      <c r="K12" s="512">
        <v>6.53</v>
      </c>
      <c r="L12" s="512">
        <v>6.53</v>
      </c>
      <c r="M12" s="512">
        <v>1.63</v>
      </c>
      <c r="N12" s="512">
        <v>22.234999999999999</v>
      </c>
      <c r="O12" s="512">
        <v>22.234999999999999</v>
      </c>
      <c r="P12" s="512">
        <v>2.2949999999999999</v>
      </c>
      <c r="Q12" s="512">
        <v>1226.7</v>
      </c>
      <c r="R12" s="512">
        <v>1226.7</v>
      </c>
      <c r="S12" s="512">
        <v>335</v>
      </c>
    </row>
    <row r="13" spans="2:19" x14ac:dyDescent="0.2">
      <c r="B13" s="510">
        <v>913</v>
      </c>
      <c r="C13" s="511">
        <v>686.23</v>
      </c>
      <c r="D13" s="512">
        <v>48.294280000000001</v>
      </c>
      <c r="E13" s="512"/>
      <c r="F13" s="513">
        <v>41</v>
      </c>
      <c r="G13" s="513">
        <v>26</v>
      </c>
      <c r="H13" s="512">
        <v>13.975</v>
      </c>
      <c r="I13" s="512">
        <v>13.975</v>
      </c>
      <c r="J13" s="512">
        <v>3.5249999999999999</v>
      </c>
      <c r="K13" s="512">
        <v>6.4</v>
      </c>
      <c r="L13" s="512">
        <v>6.4</v>
      </c>
      <c r="M13" s="512">
        <v>1.45</v>
      </c>
      <c r="N13" s="512">
        <v>22.774999999999999</v>
      </c>
      <c r="O13" s="512">
        <v>22.774999999999999</v>
      </c>
      <c r="P13" s="512">
        <v>-0.27499999999999858</v>
      </c>
      <c r="Q13" s="512">
        <v>1266.75</v>
      </c>
      <c r="R13" s="512">
        <v>1266.75</v>
      </c>
      <c r="S13" s="512">
        <v>336.75</v>
      </c>
    </row>
    <row r="14" spans="2:19" x14ac:dyDescent="0.2">
      <c r="B14" s="510">
        <v>913</v>
      </c>
      <c r="C14" s="511">
        <v>703.73</v>
      </c>
      <c r="D14" s="512">
        <v>48.924279999999996</v>
      </c>
      <c r="E14" s="512" t="s">
        <v>602</v>
      </c>
      <c r="F14" s="513">
        <v>25</v>
      </c>
      <c r="G14" s="513">
        <v>17</v>
      </c>
      <c r="H14" s="518">
        <v>15.04</v>
      </c>
      <c r="I14" s="518">
        <v>15.04</v>
      </c>
      <c r="J14" s="518">
        <v>4.42</v>
      </c>
      <c r="K14" s="512">
        <v>7.44</v>
      </c>
      <c r="L14" s="512">
        <v>7.44</v>
      </c>
      <c r="M14" s="512">
        <v>2.5</v>
      </c>
      <c r="N14" s="512">
        <v>20.350000000000001</v>
      </c>
      <c r="O14" s="512">
        <v>20.350000000000001</v>
      </c>
      <c r="P14" s="512">
        <v>8.9999999999999858E-2</v>
      </c>
      <c r="Q14" s="512">
        <v>1112.5</v>
      </c>
      <c r="R14" s="512">
        <v>1112.5</v>
      </c>
      <c r="S14" s="512">
        <v>314.7</v>
      </c>
    </row>
    <row r="15" spans="2:19" x14ac:dyDescent="0.2">
      <c r="B15" s="510">
        <v>913</v>
      </c>
      <c r="C15" s="511">
        <v>705.23</v>
      </c>
      <c r="D15" s="512">
        <v>48.978279999999998</v>
      </c>
      <c r="E15" s="512" t="s">
        <v>602</v>
      </c>
      <c r="F15" s="513">
        <v>31</v>
      </c>
      <c r="G15" s="513">
        <v>24</v>
      </c>
      <c r="H15" s="518">
        <v>15.37</v>
      </c>
      <c r="I15" s="518">
        <v>15.37</v>
      </c>
      <c r="J15" s="518">
        <v>3.76</v>
      </c>
      <c r="K15" s="512">
        <v>7.2649999999999997</v>
      </c>
      <c r="L15" s="512">
        <v>7.2649999999999997</v>
      </c>
      <c r="M15" s="512">
        <v>1.915</v>
      </c>
      <c r="N15" s="512">
        <v>22.184999999999999</v>
      </c>
      <c r="O15" s="512">
        <v>22.184999999999999</v>
      </c>
      <c r="P15" s="512">
        <v>-0.44499999999999673</v>
      </c>
      <c r="Q15" s="512">
        <v>1195.7</v>
      </c>
      <c r="R15" s="512">
        <v>1195.7</v>
      </c>
      <c r="S15" s="512">
        <v>385.3</v>
      </c>
    </row>
    <row r="16" spans="2:19" x14ac:dyDescent="0.2">
      <c r="B16" s="510">
        <v>913</v>
      </c>
      <c r="C16" s="511">
        <v>708.2</v>
      </c>
      <c r="D16" s="512">
        <v>49.083759999999998</v>
      </c>
      <c r="E16" s="512" t="s">
        <v>602</v>
      </c>
      <c r="F16" s="513">
        <v>27</v>
      </c>
      <c r="G16" s="513">
        <v>19</v>
      </c>
      <c r="H16" s="518">
        <v>16.39</v>
      </c>
      <c r="I16" s="518">
        <v>16.39</v>
      </c>
      <c r="J16" s="518">
        <v>3.29</v>
      </c>
      <c r="K16" s="512">
        <v>9.02</v>
      </c>
      <c r="L16" s="512">
        <v>9.02</v>
      </c>
      <c r="M16" s="512">
        <v>2.76</v>
      </c>
      <c r="N16" s="512">
        <v>24.02</v>
      </c>
      <c r="O16" s="512">
        <v>24.02</v>
      </c>
      <c r="P16" s="512">
        <v>-0.38000000000000256</v>
      </c>
      <c r="Q16" s="512">
        <v>1202.7</v>
      </c>
      <c r="R16" s="512">
        <v>1202.7</v>
      </c>
      <c r="S16" s="512">
        <v>413.3</v>
      </c>
    </row>
    <row r="17" spans="2:19" x14ac:dyDescent="0.2">
      <c r="B17" s="510">
        <v>913</v>
      </c>
      <c r="C17" s="511">
        <v>709.7</v>
      </c>
      <c r="D17" s="512">
        <v>49.13776</v>
      </c>
      <c r="E17" s="512" t="s">
        <v>602</v>
      </c>
      <c r="F17" s="513">
        <v>29</v>
      </c>
      <c r="G17" s="513">
        <v>21</v>
      </c>
      <c r="H17" s="518">
        <v>14.05</v>
      </c>
      <c r="I17" s="518">
        <v>14.05</v>
      </c>
      <c r="J17" s="518">
        <v>4.75</v>
      </c>
      <c r="K17" s="512">
        <v>7.25</v>
      </c>
      <c r="L17" s="512">
        <v>7.25</v>
      </c>
      <c r="M17" s="512">
        <v>2.35</v>
      </c>
      <c r="N17" s="512">
        <v>21.15</v>
      </c>
      <c r="O17" s="512">
        <v>21.15</v>
      </c>
      <c r="P17" s="512">
        <v>-0.55000000000000071</v>
      </c>
      <c r="Q17" s="512">
        <v>1205.5</v>
      </c>
      <c r="R17" s="512">
        <v>1205.5</v>
      </c>
      <c r="S17" s="512">
        <v>424.5</v>
      </c>
    </row>
    <row r="18" spans="2:19" x14ac:dyDescent="0.2">
      <c r="B18" s="510">
        <v>913</v>
      </c>
      <c r="C18" s="511">
        <v>713.34</v>
      </c>
      <c r="D18" s="512">
        <v>49.270240000000001</v>
      </c>
      <c r="E18" s="512" t="s">
        <v>602</v>
      </c>
      <c r="F18" s="513">
        <v>29</v>
      </c>
      <c r="G18" s="513">
        <v>19</v>
      </c>
      <c r="H18" s="518">
        <v>14.16</v>
      </c>
      <c r="I18" s="518">
        <v>14.16</v>
      </c>
      <c r="J18" s="518">
        <v>4.2</v>
      </c>
      <c r="K18" s="512">
        <v>6.25</v>
      </c>
      <c r="L18" s="512">
        <v>6.25</v>
      </c>
      <c r="M18" s="512">
        <v>1.23</v>
      </c>
      <c r="N18" s="512">
        <v>20.43</v>
      </c>
      <c r="O18" s="512">
        <v>20.43</v>
      </c>
      <c r="P18" s="512">
        <v>8.9999999999999858E-2</v>
      </c>
      <c r="Q18" s="512">
        <v>1210.8</v>
      </c>
      <c r="R18" s="512">
        <v>1210.8</v>
      </c>
      <c r="S18" s="512">
        <v>405.2</v>
      </c>
    </row>
    <row r="19" spans="2:19" x14ac:dyDescent="0.2">
      <c r="B19" s="510">
        <v>913</v>
      </c>
      <c r="C19" s="511">
        <v>714.45</v>
      </c>
      <c r="D19" s="512">
        <v>49.310199999999995</v>
      </c>
      <c r="E19" s="512" t="s">
        <v>602</v>
      </c>
      <c r="F19" s="513">
        <v>14</v>
      </c>
      <c r="G19" s="513">
        <v>9</v>
      </c>
      <c r="H19" s="518">
        <v>13.49</v>
      </c>
      <c r="I19" s="518"/>
      <c r="J19" s="518"/>
      <c r="K19" s="512">
        <v>10.09</v>
      </c>
      <c r="L19" s="512"/>
      <c r="M19" s="512"/>
      <c r="N19" s="512">
        <v>23.98</v>
      </c>
      <c r="O19" s="512"/>
      <c r="P19" s="512"/>
      <c r="Q19" s="512">
        <v>1149.5999999999999</v>
      </c>
      <c r="R19" s="512"/>
      <c r="S19" s="512"/>
    </row>
    <row r="20" spans="2:19" x14ac:dyDescent="0.2">
      <c r="B20" s="510">
        <v>913</v>
      </c>
      <c r="C20" s="511">
        <v>717.39</v>
      </c>
      <c r="D20" s="512">
        <v>49.416039999999995</v>
      </c>
      <c r="E20" s="512" t="s">
        <v>602</v>
      </c>
      <c r="F20" s="513">
        <v>32</v>
      </c>
      <c r="G20" s="513">
        <v>17</v>
      </c>
      <c r="H20" s="518">
        <v>14.6</v>
      </c>
      <c r="I20" s="518">
        <v>14.6</v>
      </c>
      <c r="J20" s="518">
        <v>3.98</v>
      </c>
      <c r="K20" s="512">
        <v>8.5399999999999991</v>
      </c>
      <c r="L20" s="512">
        <v>8.5399999999999991</v>
      </c>
      <c r="M20" s="512">
        <v>1.52</v>
      </c>
      <c r="N20" s="512">
        <v>22.83</v>
      </c>
      <c r="O20" s="512">
        <v>22.83</v>
      </c>
      <c r="P20" s="512">
        <v>4.9999999999997158E-2</v>
      </c>
      <c r="Q20" s="512">
        <v>1258.2</v>
      </c>
      <c r="R20" s="512">
        <v>1258.2</v>
      </c>
      <c r="S20" s="512">
        <v>343.8</v>
      </c>
    </row>
    <row r="22" spans="2:19" x14ac:dyDescent="0.2">
      <c r="G22" t="s">
        <v>189</v>
      </c>
      <c r="H22" s="34">
        <f>AVERAGE(H14:H20)</f>
        <v>14.728571428571426</v>
      </c>
      <c r="I22" s="34">
        <f t="shared" ref="I22:J22" si="0">AVERAGE(I14:I20)</f>
        <v>14.934999999999997</v>
      </c>
      <c r="J22" s="34">
        <f t="shared" si="0"/>
        <v>4.0666666666666664</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8"/>
  <sheetViews>
    <sheetView workbookViewId="0">
      <selection activeCell="E9" sqref="E9"/>
    </sheetView>
  </sheetViews>
  <sheetFormatPr baseColWidth="10" defaultColWidth="10.83203125" defaultRowHeight="16" x14ac:dyDescent="0.2"/>
  <cols>
    <col min="1" max="1" width="9.83203125" style="96" customWidth="1"/>
    <col min="2" max="2" width="6" style="96" bestFit="1" customWidth="1"/>
    <col min="3" max="3" width="7.1640625" style="96" bestFit="1" customWidth="1"/>
    <col min="4" max="4" width="14.6640625" style="96" bestFit="1" customWidth="1"/>
    <col min="5" max="5" width="27.33203125" style="96" bestFit="1" customWidth="1"/>
    <col min="6" max="6" width="23.6640625" style="96" bestFit="1" customWidth="1"/>
    <col min="7" max="16384" width="10.83203125" style="96"/>
  </cols>
  <sheetData>
    <row r="1" spans="1:6" ht="21" x14ac:dyDescent="0.25">
      <c r="A1" s="44" t="s">
        <v>243</v>
      </c>
      <c r="B1"/>
      <c r="C1"/>
      <c r="D1"/>
      <c r="E1"/>
      <c r="F1" s="44" t="s">
        <v>244</v>
      </c>
    </row>
    <row r="2" spans="1:6" ht="59" thickBot="1" x14ac:dyDescent="0.25">
      <c r="A2" s="98" t="s">
        <v>418</v>
      </c>
      <c r="B2" s="98" t="s">
        <v>418</v>
      </c>
      <c r="C2" s="98" t="s">
        <v>419</v>
      </c>
      <c r="D2" s="98" t="s">
        <v>0</v>
      </c>
      <c r="E2" s="97"/>
      <c r="F2" s="62" t="s">
        <v>218</v>
      </c>
    </row>
    <row r="3" spans="1:6" s="100" customFormat="1" x14ac:dyDescent="0.2">
      <c r="A3" s="99" t="s">
        <v>421</v>
      </c>
      <c r="B3" s="99" t="s">
        <v>422</v>
      </c>
      <c r="C3" s="99">
        <v>123.6</v>
      </c>
      <c r="D3" s="100" t="s">
        <v>420</v>
      </c>
      <c r="F3" s="101">
        <v>17.47</v>
      </c>
    </row>
    <row r="4" spans="1:6" s="100" customFormat="1" x14ac:dyDescent="0.2">
      <c r="A4" s="99" t="s">
        <v>423</v>
      </c>
      <c r="B4" s="99" t="s">
        <v>424</v>
      </c>
      <c r="C4" s="99">
        <v>128.44999999999999</v>
      </c>
      <c r="D4" s="100" t="s">
        <v>43</v>
      </c>
      <c r="F4" s="629">
        <v>20.45</v>
      </c>
    </row>
    <row r="5" spans="1:6" s="100" customFormat="1" x14ac:dyDescent="0.2">
      <c r="A5" s="99" t="s">
        <v>425</v>
      </c>
      <c r="B5" s="99" t="s">
        <v>426</v>
      </c>
      <c r="C5" s="99">
        <v>128.91999999999999</v>
      </c>
      <c r="D5" s="100" t="s">
        <v>43</v>
      </c>
      <c r="F5" s="629">
        <v>17.73</v>
      </c>
    </row>
    <row r="6" spans="1:6" s="100" customFormat="1" x14ac:dyDescent="0.2">
      <c r="A6" s="99" t="s">
        <v>427</v>
      </c>
      <c r="B6" s="99" t="s">
        <v>428</v>
      </c>
      <c r="C6" s="99">
        <v>129.27000000000001</v>
      </c>
      <c r="D6" s="100" t="s">
        <v>43</v>
      </c>
      <c r="F6" s="629">
        <v>20.04</v>
      </c>
    </row>
    <row r="7" spans="1:6" s="100" customFormat="1" x14ac:dyDescent="0.2">
      <c r="A7" s="99" t="s">
        <v>429</v>
      </c>
      <c r="B7" s="99" t="s">
        <v>430</v>
      </c>
      <c r="C7" s="99">
        <v>129.75</v>
      </c>
      <c r="D7" s="100" t="s">
        <v>43</v>
      </c>
      <c r="F7" s="629">
        <v>20.100000000000001</v>
      </c>
    </row>
    <row r="8" spans="1:6" s="100" customFormat="1" x14ac:dyDescent="0.2">
      <c r="A8" s="99" t="s">
        <v>431</v>
      </c>
      <c r="B8" s="99" t="s">
        <v>432</v>
      </c>
      <c r="C8" s="99">
        <v>130.28</v>
      </c>
      <c r="D8" s="100" t="s">
        <v>43</v>
      </c>
      <c r="F8" s="629">
        <v>17.98</v>
      </c>
    </row>
    <row r="9" spans="1:6" s="100" customFormat="1" x14ac:dyDescent="0.2">
      <c r="A9" s="99" t="s">
        <v>433</v>
      </c>
      <c r="B9" s="99" t="s">
        <v>434</v>
      </c>
      <c r="C9" s="99">
        <v>130.88999999999999</v>
      </c>
      <c r="D9" s="100" t="s">
        <v>43</v>
      </c>
      <c r="F9" s="629">
        <v>17.89</v>
      </c>
    </row>
    <row r="10" spans="1:6" s="100" customFormat="1" x14ac:dyDescent="0.2">
      <c r="A10" s="99" t="s">
        <v>435</v>
      </c>
      <c r="B10" s="99" t="s">
        <v>436</v>
      </c>
      <c r="C10" s="99">
        <v>131.85</v>
      </c>
      <c r="D10" s="100" t="s">
        <v>43</v>
      </c>
      <c r="F10" s="629">
        <v>19.059999999999999</v>
      </c>
    </row>
    <row r="11" spans="1:6" s="100" customFormat="1" x14ac:dyDescent="0.2">
      <c r="A11" s="99" t="s">
        <v>437</v>
      </c>
      <c r="B11" s="99" t="s">
        <v>438</v>
      </c>
      <c r="C11" s="99">
        <v>132.53</v>
      </c>
      <c r="D11" s="100" t="s">
        <v>43</v>
      </c>
      <c r="F11" s="629">
        <v>19</v>
      </c>
    </row>
    <row r="12" spans="1:6" s="100" customFormat="1" x14ac:dyDescent="0.2">
      <c r="A12" s="99" t="s">
        <v>439</v>
      </c>
      <c r="B12" s="99" t="s">
        <v>440</v>
      </c>
      <c r="C12" s="99">
        <v>135.41</v>
      </c>
      <c r="D12" s="100" t="s">
        <v>41</v>
      </c>
      <c r="F12" s="628">
        <v>18.420000000000002</v>
      </c>
    </row>
    <row r="13" spans="1:6" s="100" customFormat="1" x14ac:dyDescent="0.2">
      <c r="A13" s="99" t="s">
        <v>441</v>
      </c>
      <c r="B13" s="99" t="s">
        <v>442</v>
      </c>
      <c r="C13" s="99">
        <v>137.06</v>
      </c>
      <c r="D13" s="100" t="s">
        <v>41</v>
      </c>
      <c r="F13" s="628">
        <v>19.23</v>
      </c>
    </row>
    <row r="14" spans="1:6" s="100" customFormat="1" x14ac:dyDescent="0.2">
      <c r="A14" s="99" t="s">
        <v>443</v>
      </c>
      <c r="B14" s="99" t="s">
        <v>444</v>
      </c>
      <c r="C14" s="99">
        <v>139.53</v>
      </c>
      <c r="D14" s="100" t="s">
        <v>41</v>
      </c>
      <c r="F14" s="628">
        <v>19.29</v>
      </c>
    </row>
    <row r="15" spans="1:6" s="100" customFormat="1" x14ac:dyDescent="0.2">
      <c r="A15" s="99" t="s">
        <v>445</v>
      </c>
      <c r="B15" s="99" t="s">
        <v>446</v>
      </c>
      <c r="C15" s="99">
        <v>139.63</v>
      </c>
      <c r="D15" s="100" t="s">
        <v>41</v>
      </c>
      <c r="F15" s="628">
        <v>18.399999999999999</v>
      </c>
    </row>
    <row r="16" spans="1:6" s="100" customFormat="1" x14ac:dyDescent="0.2">
      <c r="A16" s="99" t="s">
        <v>447</v>
      </c>
      <c r="B16" s="99" t="s">
        <v>448</v>
      </c>
      <c r="C16" s="99">
        <v>140.53</v>
      </c>
      <c r="D16" s="100" t="s">
        <v>41</v>
      </c>
      <c r="F16" s="628">
        <v>18.059999999999999</v>
      </c>
    </row>
    <row r="17" spans="1:11" s="100" customFormat="1" x14ac:dyDescent="0.2">
      <c r="A17" s="99" t="s">
        <v>449</v>
      </c>
      <c r="B17" s="99" t="s">
        <v>450</v>
      </c>
      <c r="C17" s="99">
        <v>141.99</v>
      </c>
      <c r="D17" s="100" t="s">
        <v>41</v>
      </c>
      <c r="F17" s="628">
        <v>17.809999999999999</v>
      </c>
    </row>
    <row r="18" spans="1:11" s="100" customFormat="1" x14ac:dyDescent="0.2">
      <c r="A18" s="99" t="s">
        <v>451</v>
      </c>
      <c r="B18" s="99" t="s">
        <v>452</v>
      </c>
      <c r="C18" s="99">
        <v>142.57</v>
      </c>
      <c r="D18" s="100" t="s">
        <v>41</v>
      </c>
      <c r="F18" s="628">
        <v>19.8</v>
      </c>
    </row>
    <row r="19" spans="1:11" s="100" customFormat="1" ht="17" thickBot="1" x14ac:dyDescent="0.25"/>
    <row r="20" spans="1:11" s="100" customFormat="1" x14ac:dyDescent="0.2">
      <c r="E20" s="269"/>
      <c r="F20" s="270" t="s">
        <v>666</v>
      </c>
      <c r="G20" s="271" t="s">
        <v>667</v>
      </c>
      <c r="H20" s="270" t="s">
        <v>672</v>
      </c>
      <c r="I20" s="270" t="s">
        <v>189</v>
      </c>
      <c r="J20" s="270" t="s">
        <v>673</v>
      </c>
      <c r="K20" s="272" t="s">
        <v>668</v>
      </c>
    </row>
    <row r="21" spans="1:11" s="100" customFormat="1" x14ac:dyDescent="0.2">
      <c r="E21" s="273" t="s">
        <v>602</v>
      </c>
      <c r="F21" s="274"/>
      <c r="G21" s="284"/>
      <c r="H21" s="284"/>
      <c r="I21" s="284"/>
      <c r="J21" s="284"/>
      <c r="K21" s="285"/>
    </row>
    <row r="22" spans="1:11" s="100" customFormat="1" x14ac:dyDescent="0.2">
      <c r="E22" s="273" t="s">
        <v>43</v>
      </c>
      <c r="F22" s="274">
        <f>COUNT(F4:F11)</f>
        <v>8</v>
      </c>
      <c r="G22" s="284">
        <f>MIN(F4:F11)</f>
        <v>17.73</v>
      </c>
      <c r="H22" s="284">
        <f>I22-(_xlfn.STDEV.P(F4:F11))</f>
        <v>18.014190052160149</v>
      </c>
      <c r="I22" s="284">
        <f>AVERAGE(F4:F11)</f>
        <v>19.03125</v>
      </c>
      <c r="J22" s="284">
        <f>I22+(_xlfn.STDEV.P(F4:F11))</f>
        <v>20.048309947839851</v>
      </c>
      <c r="K22" s="285">
        <f>MAX(F4:F11)</f>
        <v>20.45</v>
      </c>
    </row>
    <row r="23" spans="1:11" s="100" customFormat="1" x14ac:dyDescent="0.2">
      <c r="E23" s="273" t="s">
        <v>186</v>
      </c>
      <c r="F23" s="274">
        <f>COUNT(F12:F18)</f>
        <v>7</v>
      </c>
      <c r="G23" s="284">
        <f>MIN(F12:F18)</f>
        <v>17.809999999999999</v>
      </c>
      <c r="H23" s="284">
        <f>I23-(_xlfn.STDEV.P(F12:F18))</f>
        <v>18.038812580614245</v>
      </c>
      <c r="I23" s="284">
        <f>AVERAGE(F12:F18)</f>
        <v>18.715714285714288</v>
      </c>
      <c r="J23" s="284">
        <f>I23+(_xlfn.STDEV.P(F12:F18))</f>
        <v>19.392615990814331</v>
      </c>
      <c r="K23" s="285">
        <f>MAX(F12:F18)</f>
        <v>19.8</v>
      </c>
    </row>
    <row r="24" spans="1:11" s="100" customFormat="1" x14ac:dyDescent="0.2">
      <c r="E24" s="273"/>
      <c r="F24" s="277"/>
      <c r="G24" s="284"/>
      <c r="H24" s="284"/>
      <c r="I24" s="286"/>
      <c r="J24" s="284"/>
      <c r="K24" s="287"/>
    </row>
    <row r="25" spans="1:11" s="100" customFormat="1" x14ac:dyDescent="0.2">
      <c r="E25" s="273"/>
      <c r="F25" s="277"/>
      <c r="G25" s="275"/>
      <c r="H25" s="279"/>
      <c r="I25" s="279"/>
      <c r="J25" s="279"/>
      <c r="K25" s="278"/>
    </row>
    <row r="26" spans="1:11" s="100" customFormat="1" x14ac:dyDescent="0.2">
      <c r="E26" s="273" t="s">
        <v>602</v>
      </c>
      <c r="F26" s="274"/>
      <c r="G26" s="275"/>
      <c r="H26" s="275"/>
      <c r="I26" s="275"/>
      <c r="J26" s="275"/>
      <c r="K26" s="276"/>
    </row>
    <row r="27" spans="1:11" s="100" customFormat="1" x14ac:dyDescent="0.2">
      <c r="E27" s="273" t="s">
        <v>43</v>
      </c>
      <c r="F27" s="274">
        <f t="shared" ref="F27:F28" si="0">F22</f>
        <v>8</v>
      </c>
      <c r="G27" s="275" t="str">
        <f>FIXED(G22,2)</f>
        <v>17.73</v>
      </c>
      <c r="H27" s="275" t="str">
        <f t="shared" ref="H27:K28" si="1">FIXED(H22,2)</f>
        <v>18.01</v>
      </c>
      <c r="I27" s="275" t="str">
        <f t="shared" si="1"/>
        <v>19.03</v>
      </c>
      <c r="J27" s="275" t="str">
        <f t="shared" si="1"/>
        <v>20.05</v>
      </c>
      <c r="K27" s="276" t="str">
        <f t="shared" si="1"/>
        <v>20.45</v>
      </c>
    </row>
    <row r="28" spans="1:11" s="100" customFormat="1" ht="17" thickBot="1" x14ac:dyDescent="0.25">
      <c r="E28" s="280" t="s">
        <v>186</v>
      </c>
      <c r="F28" s="281">
        <f t="shared" si="0"/>
        <v>7</v>
      </c>
      <c r="G28" s="282" t="str">
        <f>FIXED(G23,2)</f>
        <v>17.81</v>
      </c>
      <c r="H28" s="282" t="str">
        <f t="shared" si="1"/>
        <v>18.04</v>
      </c>
      <c r="I28" s="282" t="str">
        <f t="shared" si="1"/>
        <v>18.72</v>
      </c>
      <c r="J28" s="282" t="str">
        <f t="shared" si="1"/>
        <v>19.39</v>
      </c>
      <c r="K28" s="283" t="str">
        <f t="shared" si="1"/>
        <v>19.80</v>
      </c>
    </row>
    <row r="29" spans="1:11" s="100" customFormat="1" x14ac:dyDescent="0.2">
      <c r="E29" s="4"/>
      <c r="F29" s="4"/>
    </row>
    <row r="30" spans="1:11" s="100" customFormat="1" x14ac:dyDescent="0.2">
      <c r="E30" s="265"/>
      <c r="F30" s="266"/>
    </row>
    <row r="31" spans="1:11" s="100" customFormat="1" x14ac:dyDescent="0.2">
      <c r="E31" s="1"/>
      <c r="F31" s="267"/>
    </row>
    <row r="32" spans="1:11" s="100" customFormat="1" x14ac:dyDescent="0.2">
      <c r="E32" s="1"/>
      <c r="F32" s="266"/>
    </row>
    <row r="33" spans="5:6" s="100" customFormat="1" x14ac:dyDescent="0.2">
      <c r="E33" s="1"/>
      <c r="F33" s="266"/>
    </row>
    <row r="34" spans="5:6" s="100" customFormat="1" x14ac:dyDescent="0.2">
      <c r="E34" s="1"/>
      <c r="F34" s="266"/>
    </row>
    <row r="35" spans="5:6" s="100" customFormat="1" x14ac:dyDescent="0.2">
      <c r="E35" s="1"/>
      <c r="F35" s="266"/>
    </row>
    <row r="36" spans="5:6" s="100" customFormat="1" x14ac:dyDescent="0.2">
      <c r="E36" s="4"/>
      <c r="F36" s="266"/>
    </row>
    <row r="37" spans="5:6" s="100" customFormat="1" x14ac:dyDescent="0.2">
      <c r="E37" s="4"/>
      <c r="F37" s="4"/>
    </row>
    <row r="38" spans="5:6" s="100" customFormat="1" x14ac:dyDescent="0.2">
      <c r="E38" s="4"/>
      <c r="F38" s="266"/>
    </row>
    <row r="39" spans="5:6" s="100" customFormat="1" x14ac:dyDescent="0.2">
      <c r="E39" s="4"/>
      <c r="F39" s="4"/>
    </row>
    <row r="40" spans="5:6" s="100" customFormat="1" x14ac:dyDescent="0.2">
      <c r="E40" s="265"/>
      <c r="F40" s="266"/>
    </row>
    <row r="41" spans="5:6" s="100" customFormat="1" x14ac:dyDescent="0.2">
      <c r="E41" s="1"/>
      <c r="F41" s="4"/>
    </row>
    <row r="42" spans="5:6" s="100" customFormat="1" x14ac:dyDescent="0.2">
      <c r="E42" s="1"/>
      <c r="F42" s="266"/>
    </row>
    <row r="43" spans="5:6" s="100" customFormat="1" x14ac:dyDescent="0.2">
      <c r="E43" s="1"/>
      <c r="F43" s="266"/>
    </row>
    <row r="44" spans="5:6" s="100" customFormat="1" x14ac:dyDescent="0.2">
      <c r="E44" s="1"/>
      <c r="F44" s="266"/>
    </row>
    <row r="45" spans="5:6" s="100" customFormat="1" x14ac:dyDescent="0.2">
      <c r="E45" s="1"/>
      <c r="F45" s="266"/>
    </row>
    <row r="46" spans="5:6" s="100" customFormat="1" x14ac:dyDescent="0.2">
      <c r="E46" s="4"/>
      <c r="F46" s="266"/>
    </row>
    <row r="47" spans="5:6" s="100" customFormat="1" x14ac:dyDescent="0.2">
      <c r="E47" s="4"/>
      <c r="F47" s="4"/>
    </row>
    <row r="48" spans="5:6" s="100" customFormat="1" x14ac:dyDescent="0.2">
      <c r="E48" s="4"/>
      <c r="F48" s="266"/>
    </row>
    <row r="49" spans="5:6" s="100" customFormat="1" x14ac:dyDescent="0.2">
      <c r="E49" s="4"/>
      <c r="F49" s="4"/>
    </row>
    <row r="50" spans="5:6" s="100" customFormat="1" x14ac:dyDescent="0.2">
      <c r="E50" s="265"/>
      <c r="F50" s="268"/>
    </row>
    <row r="51" spans="5:6" s="100" customFormat="1" x14ac:dyDescent="0.2">
      <c r="E51" s="1"/>
      <c r="F51" s="4"/>
    </row>
    <row r="52" spans="5:6" s="100" customFormat="1" x14ac:dyDescent="0.2">
      <c r="E52" s="1"/>
      <c r="F52" s="266"/>
    </row>
    <row r="53" spans="5:6" s="100" customFormat="1" x14ac:dyDescent="0.2">
      <c r="E53" s="1"/>
      <c r="F53" s="266"/>
    </row>
    <row r="54" spans="5:6" s="100" customFormat="1" x14ac:dyDescent="0.2">
      <c r="E54" s="1"/>
      <c r="F54" s="266"/>
    </row>
    <row r="55" spans="5:6" s="100" customFormat="1" x14ac:dyDescent="0.2">
      <c r="E55" s="1"/>
      <c r="F55" s="266"/>
    </row>
    <row r="56" spans="5:6" s="100" customFormat="1" x14ac:dyDescent="0.2">
      <c r="E56" s="4"/>
      <c r="F56" s="266"/>
    </row>
    <row r="57" spans="5:6" s="100" customFormat="1" x14ac:dyDescent="0.2">
      <c r="E57" s="4"/>
      <c r="F57" s="4"/>
    </row>
    <row r="58" spans="5:6" s="100" customFormat="1" x14ac:dyDescent="0.2">
      <c r="E58" s="4"/>
      <c r="F58" s="26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2"/>
  <sheetViews>
    <sheetView workbookViewId="0">
      <selection activeCell="E11" sqref="E11"/>
    </sheetView>
  </sheetViews>
  <sheetFormatPr baseColWidth="10" defaultColWidth="10.83203125" defaultRowHeight="16" x14ac:dyDescent="0.2"/>
  <cols>
    <col min="1" max="1" width="10.83203125" style="96"/>
    <col min="2" max="2" width="12.33203125" style="96" customWidth="1"/>
    <col min="3" max="3" width="13.5" style="96" customWidth="1"/>
    <col min="4" max="4" width="22.1640625" style="96" customWidth="1"/>
    <col min="5" max="5" width="28" style="96" customWidth="1"/>
    <col min="6" max="6" width="23.6640625" style="96" bestFit="1" customWidth="1"/>
    <col min="7" max="16384" width="10.83203125" style="96"/>
  </cols>
  <sheetData>
    <row r="1" spans="1:8" ht="21" x14ac:dyDescent="0.25">
      <c r="A1" s="44" t="s">
        <v>243</v>
      </c>
      <c r="B1"/>
      <c r="C1"/>
      <c r="D1"/>
      <c r="E1"/>
      <c r="F1" s="44" t="s">
        <v>244</v>
      </c>
    </row>
    <row r="2" spans="1:8" ht="59" thickBot="1" x14ac:dyDescent="0.25">
      <c r="A2" s="98" t="s">
        <v>418</v>
      </c>
      <c r="B2" s="98" t="s">
        <v>418</v>
      </c>
      <c r="C2" s="98" t="s">
        <v>419</v>
      </c>
      <c r="D2" s="98" t="s">
        <v>0</v>
      </c>
      <c r="F2" s="62" t="s">
        <v>218</v>
      </c>
    </row>
    <row r="3" spans="1:8" s="100" customFormat="1" x14ac:dyDescent="0.2">
      <c r="A3" s="100" t="s">
        <v>454</v>
      </c>
      <c r="B3" s="100" t="s">
        <v>455</v>
      </c>
      <c r="C3" s="100">
        <v>30.51</v>
      </c>
      <c r="D3" s="100" t="s">
        <v>420</v>
      </c>
      <c r="F3" s="519">
        <v>16.899999999999999</v>
      </c>
    </row>
    <row r="4" spans="1:8" s="100" customFormat="1" x14ac:dyDescent="0.2">
      <c r="A4" s="100" t="s">
        <v>456</v>
      </c>
      <c r="B4" s="100" t="s">
        <v>457</v>
      </c>
      <c r="C4" s="100">
        <v>20.51</v>
      </c>
      <c r="D4" s="100" t="s">
        <v>43</v>
      </c>
      <c r="F4" s="116">
        <v>17.899999999999999</v>
      </c>
    </row>
    <row r="5" spans="1:8" s="100" customFormat="1" x14ac:dyDescent="0.2">
      <c r="A5" s="100" t="s">
        <v>458</v>
      </c>
      <c r="B5" s="100" t="s">
        <v>459</v>
      </c>
      <c r="C5" s="100">
        <v>17.510000000000002</v>
      </c>
      <c r="D5" s="100" t="s">
        <v>43</v>
      </c>
      <c r="F5" s="116">
        <v>20.9</v>
      </c>
    </row>
    <row r="6" spans="1:8" s="100" customFormat="1" x14ac:dyDescent="0.2">
      <c r="A6" s="100" t="s">
        <v>460</v>
      </c>
      <c r="B6" s="100" t="s">
        <v>461</v>
      </c>
      <c r="C6" s="100">
        <v>2.5099999999999998</v>
      </c>
      <c r="D6" s="100" t="s">
        <v>43</v>
      </c>
      <c r="F6" s="116">
        <v>23.5</v>
      </c>
    </row>
    <row r="7" spans="1:8" s="100" customFormat="1" x14ac:dyDescent="0.2">
      <c r="A7" s="100" t="s">
        <v>462</v>
      </c>
      <c r="B7" s="100" t="s">
        <v>463</v>
      </c>
      <c r="C7" s="100">
        <v>1.06</v>
      </c>
      <c r="D7" s="100" t="s">
        <v>43</v>
      </c>
      <c r="F7" s="116">
        <v>23.1</v>
      </c>
    </row>
    <row r="8" spans="1:8" s="100" customFormat="1" x14ac:dyDescent="0.2">
      <c r="A8" s="100" t="s">
        <v>464</v>
      </c>
      <c r="B8" s="100" t="s">
        <v>465</v>
      </c>
      <c r="C8" s="100">
        <v>0.15</v>
      </c>
      <c r="D8" s="100" t="s">
        <v>43</v>
      </c>
      <c r="F8" s="116">
        <v>20.399999999999999</v>
      </c>
    </row>
    <row r="9" spans="1:8" s="100" customFormat="1" x14ac:dyDescent="0.2">
      <c r="A9" s="100" t="s">
        <v>466</v>
      </c>
      <c r="B9" s="100" t="s">
        <v>467</v>
      </c>
      <c r="C9" s="100">
        <v>0.08</v>
      </c>
      <c r="D9" s="100" t="s">
        <v>43</v>
      </c>
      <c r="F9" s="116">
        <v>20.100000000000001</v>
      </c>
    </row>
    <row r="10" spans="1:8" s="100" customFormat="1" x14ac:dyDescent="0.2">
      <c r="A10" s="100" t="s">
        <v>468</v>
      </c>
      <c r="B10" s="100" t="s">
        <v>469</v>
      </c>
      <c r="C10" s="100">
        <v>-0.08</v>
      </c>
      <c r="D10" s="100" t="s">
        <v>41</v>
      </c>
      <c r="F10" s="117">
        <v>16</v>
      </c>
    </row>
    <row r="11" spans="1:8" s="100" customFormat="1" x14ac:dyDescent="0.2">
      <c r="A11" s="100" t="s">
        <v>470</v>
      </c>
      <c r="B11" s="100" t="s">
        <v>471</v>
      </c>
      <c r="C11" s="100">
        <v>-0.16</v>
      </c>
      <c r="D11" s="100" t="s">
        <v>41</v>
      </c>
      <c r="F11" s="117">
        <v>17.8</v>
      </c>
    </row>
    <row r="12" spans="1:8" s="100" customFormat="1" x14ac:dyDescent="0.2">
      <c r="A12" s="100" t="s">
        <v>472</v>
      </c>
      <c r="B12" s="100" t="s">
        <v>473</v>
      </c>
      <c r="C12" s="100">
        <v>-0.28999999999999998</v>
      </c>
      <c r="D12" s="100" t="s">
        <v>41</v>
      </c>
      <c r="F12" s="117">
        <v>19</v>
      </c>
    </row>
    <row r="13" spans="1:8" s="100" customFormat="1" ht="17" thickBot="1" x14ac:dyDescent="0.25"/>
    <row r="14" spans="1:8" x14ac:dyDescent="0.2">
      <c r="B14" s="269"/>
      <c r="C14" s="270" t="s">
        <v>666</v>
      </c>
      <c r="D14" s="271" t="s">
        <v>667</v>
      </c>
      <c r="E14" s="270" t="s">
        <v>672</v>
      </c>
      <c r="F14" s="270" t="s">
        <v>189</v>
      </c>
      <c r="G14" s="270" t="s">
        <v>673</v>
      </c>
      <c r="H14" s="272" t="s">
        <v>668</v>
      </c>
    </row>
    <row r="15" spans="1:8" x14ac:dyDescent="0.2">
      <c r="B15" s="273" t="s">
        <v>602</v>
      </c>
      <c r="C15" s="274">
        <f>COUNT(F3)</f>
        <v>1</v>
      </c>
      <c r="D15" s="284"/>
      <c r="E15" s="284"/>
      <c r="F15" s="284">
        <f>AVERAGE(F3)</f>
        <v>16.899999999999999</v>
      </c>
      <c r="G15" s="284"/>
      <c r="H15" s="285"/>
    </row>
    <row r="16" spans="1:8" x14ac:dyDescent="0.2">
      <c r="B16" s="273" t="s">
        <v>43</v>
      </c>
      <c r="C16" s="274">
        <f>COUNT(F4:F9)</f>
        <v>6</v>
      </c>
      <c r="D16" s="284">
        <f>MIN(F4:F9)</f>
        <v>17.899999999999999</v>
      </c>
      <c r="E16" s="284">
        <f>F16-(_xlfn.STDEV.P(F4:F9))</f>
        <v>19.092639751014342</v>
      </c>
      <c r="F16" s="284">
        <f>AVERAGE(F4:F9)</f>
        <v>20.983333333333334</v>
      </c>
      <c r="G16" s="284">
        <f>F16+(_xlfn.STDEV.P(F4:F9))</f>
        <v>22.874026915652326</v>
      </c>
      <c r="H16" s="285">
        <f>MAX(F4:F9)</f>
        <v>23.5</v>
      </c>
    </row>
    <row r="17" spans="2:8" x14ac:dyDescent="0.2">
      <c r="B17" s="273" t="s">
        <v>186</v>
      </c>
      <c r="C17" s="274">
        <f>COUNT(F10:F12)</f>
        <v>3</v>
      </c>
      <c r="D17" s="284">
        <f>MIN(F10:F12)</f>
        <v>16</v>
      </c>
      <c r="E17" s="284">
        <f>F17-(_xlfn.STDEV.P(F10:F12))</f>
        <v>16.367117199406202</v>
      </c>
      <c r="F17" s="284">
        <f>AVERAGE(F10:F12)</f>
        <v>17.599999999999998</v>
      </c>
      <c r="G17" s="284">
        <f>F17+(_xlfn.STDEV.P(F10:F12))</f>
        <v>18.832882800593794</v>
      </c>
      <c r="H17" s="285">
        <f>MAX(F10:F12)</f>
        <v>19</v>
      </c>
    </row>
    <row r="18" spans="2:8" x14ac:dyDescent="0.2">
      <c r="B18" s="273"/>
      <c r="C18" s="277"/>
      <c r="D18" s="284"/>
      <c r="E18" s="284"/>
      <c r="F18" s="286"/>
      <c r="G18" s="284"/>
      <c r="H18" s="287"/>
    </row>
    <row r="19" spans="2:8" x14ac:dyDescent="0.2">
      <c r="B19" s="273"/>
      <c r="C19" s="277"/>
      <c r="D19" s="275"/>
      <c r="E19" s="279"/>
      <c r="F19" s="279"/>
      <c r="G19" s="279"/>
      <c r="H19" s="278"/>
    </row>
    <row r="20" spans="2:8" x14ac:dyDescent="0.2">
      <c r="B20" s="273" t="s">
        <v>602</v>
      </c>
      <c r="C20" s="274">
        <f>C15</f>
        <v>1</v>
      </c>
      <c r="D20" s="275"/>
      <c r="E20" s="275"/>
      <c r="F20" s="275" t="str">
        <f t="shared" ref="E20:H22" si="0">FIXED(F15,2)</f>
        <v>16.90</v>
      </c>
      <c r="G20" s="275"/>
      <c r="H20" s="276"/>
    </row>
    <row r="21" spans="2:8" x14ac:dyDescent="0.2">
      <c r="B21" s="273" t="s">
        <v>43</v>
      </c>
      <c r="C21" s="274">
        <f t="shared" ref="C21:C22" si="1">C16</f>
        <v>6</v>
      </c>
      <c r="D21" s="275" t="str">
        <f>FIXED(D16,2)</f>
        <v>17.90</v>
      </c>
      <c r="E21" s="275" t="str">
        <f t="shared" si="0"/>
        <v>19.09</v>
      </c>
      <c r="F21" s="275" t="str">
        <f t="shared" si="0"/>
        <v>20.98</v>
      </c>
      <c r="G21" s="275" t="str">
        <f t="shared" si="0"/>
        <v>22.87</v>
      </c>
      <c r="H21" s="276" t="str">
        <f t="shared" si="0"/>
        <v>23.50</v>
      </c>
    </row>
    <row r="22" spans="2:8" ht="17" thickBot="1" x14ac:dyDescent="0.25">
      <c r="B22" s="280" t="s">
        <v>186</v>
      </c>
      <c r="C22" s="281">
        <f t="shared" si="1"/>
        <v>3</v>
      </c>
      <c r="D22" s="282" t="str">
        <f>FIXED(D17,2)</f>
        <v>16.00</v>
      </c>
      <c r="E22" s="282" t="str">
        <f t="shared" si="0"/>
        <v>16.37</v>
      </c>
      <c r="F22" s="282" t="str">
        <f t="shared" si="0"/>
        <v>17.60</v>
      </c>
      <c r="G22" s="282" t="str">
        <f t="shared" si="0"/>
        <v>18.83</v>
      </c>
      <c r="H22" s="283" t="str">
        <f t="shared" si="0"/>
        <v>19.00</v>
      </c>
    </row>
  </sheetData>
  <pageMargins left="0.75" right="0.75" top="1" bottom="1" header="0.5" footer="0.5"/>
  <pageSetup paperSize="9" orientation="portrait" horizontalDpi="4294967292" verticalDpi="4294967292"/>
  <ignoredErrors>
    <ignoredError sqref="C17:D17 C16:D16 F16 H16 H17 F17" formulaRange="1"/>
  </ignoredError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41"/>
  <sheetViews>
    <sheetView workbookViewId="0">
      <selection activeCell="E3" sqref="E3:M31"/>
    </sheetView>
  </sheetViews>
  <sheetFormatPr baseColWidth="10" defaultColWidth="8.83203125" defaultRowHeight="15" x14ac:dyDescent="0.2"/>
  <cols>
    <col min="1" max="1" width="15.6640625" customWidth="1"/>
    <col min="3" max="3" width="11" customWidth="1"/>
    <col min="18" max="18" width="18.5" customWidth="1"/>
    <col min="20" max="20" width="16.5" customWidth="1"/>
  </cols>
  <sheetData>
    <row r="1" spans="1:20" x14ac:dyDescent="0.2">
      <c r="A1" s="314" t="s">
        <v>691</v>
      </c>
      <c r="B1" s="313"/>
      <c r="C1" s="313"/>
      <c r="D1" s="315"/>
      <c r="E1" s="316"/>
      <c r="F1" s="316"/>
      <c r="G1" s="316"/>
      <c r="H1" s="316"/>
      <c r="I1" s="316"/>
      <c r="J1" s="316"/>
      <c r="K1" s="316"/>
      <c r="L1" s="316"/>
      <c r="M1" s="316"/>
      <c r="N1" s="316"/>
      <c r="O1" s="316"/>
      <c r="P1" s="316"/>
      <c r="Q1" s="316"/>
      <c r="R1" s="316"/>
      <c r="S1" s="316"/>
      <c r="T1" s="316"/>
    </row>
    <row r="2" spans="1:20" x14ac:dyDescent="0.2">
      <c r="A2" s="317" t="s">
        <v>692</v>
      </c>
      <c r="B2" s="319" t="s">
        <v>453</v>
      </c>
      <c r="C2" s="319" t="s">
        <v>185</v>
      </c>
      <c r="D2" s="317" t="s">
        <v>693</v>
      </c>
      <c r="E2" s="321"/>
      <c r="F2" s="321"/>
      <c r="G2" s="321"/>
      <c r="H2" s="321"/>
      <c r="I2" s="321"/>
      <c r="J2" s="321"/>
      <c r="K2" s="321"/>
      <c r="L2" s="321"/>
      <c r="M2" s="321"/>
      <c r="N2" s="321"/>
      <c r="O2" s="321"/>
      <c r="P2" s="321"/>
      <c r="Q2" s="321"/>
      <c r="R2" s="321"/>
      <c r="S2" s="321"/>
      <c r="T2" s="321"/>
    </row>
    <row r="3" spans="1:20" ht="29" x14ac:dyDescent="0.2">
      <c r="A3" s="317" t="s">
        <v>694</v>
      </c>
      <c r="B3" s="319" t="s">
        <v>695</v>
      </c>
      <c r="C3" s="319"/>
      <c r="D3" s="317" t="s">
        <v>696</v>
      </c>
      <c r="E3" s="322" t="s">
        <v>697</v>
      </c>
      <c r="F3" s="322" t="s">
        <v>698</v>
      </c>
      <c r="G3" s="322" t="s">
        <v>699</v>
      </c>
      <c r="H3" s="322" t="s">
        <v>700</v>
      </c>
      <c r="I3" s="322" t="s">
        <v>701</v>
      </c>
      <c r="J3" s="322" t="s">
        <v>702</v>
      </c>
      <c r="K3" s="322" t="s">
        <v>703</v>
      </c>
      <c r="L3" s="322" t="s">
        <v>704</v>
      </c>
      <c r="M3" s="322" t="s">
        <v>705</v>
      </c>
      <c r="N3" s="319" t="s">
        <v>706</v>
      </c>
      <c r="O3" s="319" t="s">
        <v>213</v>
      </c>
      <c r="P3" s="319" t="s">
        <v>212</v>
      </c>
      <c r="Q3" s="322" t="s">
        <v>707</v>
      </c>
      <c r="R3" s="312" t="s">
        <v>708</v>
      </c>
      <c r="S3" s="319" t="s">
        <v>229</v>
      </c>
      <c r="T3" s="311" t="s">
        <v>709</v>
      </c>
    </row>
    <row r="4" spans="1:20" x14ac:dyDescent="0.2">
      <c r="A4" s="318" t="s">
        <v>710</v>
      </c>
      <c r="B4" s="320">
        <v>117.04320000000001</v>
      </c>
      <c r="C4" s="320" t="s">
        <v>738</v>
      </c>
      <c r="D4" s="323">
        <v>2920000</v>
      </c>
      <c r="E4" s="323">
        <v>10900</v>
      </c>
      <c r="F4" s="323"/>
      <c r="G4" s="323"/>
      <c r="H4" s="323">
        <v>105000</v>
      </c>
      <c r="I4" s="323">
        <v>13600</v>
      </c>
      <c r="J4" s="323"/>
      <c r="K4" s="323">
        <v>1820000</v>
      </c>
      <c r="L4" s="323">
        <v>256000</v>
      </c>
      <c r="M4" s="323">
        <v>47500</v>
      </c>
      <c r="N4" s="324">
        <v>0.43553063986081575</v>
      </c>
      <c r="O4" s="324">
        <v>0.9425210830004439</v>
      </c>
      <c r="P4" s="324">
        <v>0.85371084598123737</v>
      </c>
      <c r="Q4" s="325">
        <v>6.5165504053125334</v>
      </c>
      <c r="R4" s="325">
        <v>32.560450975465642</v>
      </c>
      <c r="S4" s="324">
        <v>0.9425210830004439</v>
      </c>
      <c r="T4" s="325">
        <v>25.187613076300146</v>
      </c>
    </row>
    <row r="5" spans="1:20" x14ac:dyDescent="0.2">
      <c r="A5" s="318" t="s">
        <v>711</v>
      </c>
      <c r="B5" s="320">
        <v>118.872</v>
      </c>
      <c r="C5" s="320" t="s">
        <v>43</v>
      </c>
      <c r="D5" s="323">
        <v>4180000</v>
      </c>
      <c r="E5" s="323"/>
      <c r="F5" s="323"/>
      <c r="G5" s="323"/>
      <c r="H5" s="323">
        <v>24700</v>
      </c>
      <c r="I5" s="323"/>
      <c r="J5" s="323"/>
      <c r="K5" s="323">
        <v>769000</v>
      </c>
      <c r="L5" s="323">
        <v>104000</v>
      </c>
      <c r="M5" s="323">
        <v>36000</v>
      </c>
      <c r="N5" s="324">
        <v>0.18258795001662201</v>
      </c>
      <c r="O5" s="324">
        <v>0.97354610688658028</v>
      </c>
      <c r="P5" s="324">
        <v>0.88262304100685518</v>
      </c>
      <c r="Q5" s="325">
        <v>6.4404656815609069</v>
      </c>
      <c r="R5" s="625">
        <v>33.822443261985143</v>
      </c>
      <c r="S5" s="626">
        <v>0.97354610688658028</v>
      </c>
      <c r="T5" s="625">
        <v>25.985456670975118</v>
      </c>
    </row>
    <row r="6" spans="1:20" x14ac:dyDescent="0.2">
      <c r="A6" s="318" t="s">
        <v>712</v>
      </c>
      <c r="B6" s="320">
        <v>119.0751999999999</v>
      </c>
      <c r="C6" s="320" t="s">
        <v>43</v>
      </c>
      <c r="D6" s="323">
        <v>1490000</v>
      </c>
      <c r="E6" s="321"/>
      <c r="F6" s="321"/>
      <c r="G6" s="321"/>
      <c r="H6" s="323"/>
      <c r="I6" s="321"/>
      <c r="J6" s="321"/>
      <c r="K6" s="323">
        <v>163000</v>
      </c>
      <c r="L6" s="323">
        <v>25600</v>
      </c>
      <c r="M6" s="323">
        <v>4990</v>
      </c>
      <c r="N6" s="324">
        <v>0.11498642781199699</v>
      </c>
      <c r="O6" s="324">
        <v>1</v>
      </c>
      <c r="P6" s="324">
        <v>0.8039476390921082</v>
      </c>
      <c r="Q6" s="325">
        <v>6.6475062129155047</v>
      </c>
      <c r="R6" s="625">
        <v>35.850334556146592</v>
      </c>
      <c r="S6" s="626">
        <v>1</v>
      </c>
      <c r="T6" s="625">
        <v>27.251616886347747</v>
      </c>
    </row>
    <row r="7" spans="1:20" x14ac:dyDescent="0.2">
      <c r="A7" s="318" t="s">
        <v>713</v>
      </c>
      <c r="B7" s="320">
        <v>119.4816</v>
      </c>
      <c r="C7" s="320" t="s">
        <v>43</v>
      </c>
      <c r="D7" s="323">
        <v>3360000</v>
      </c>
      <c r="E7" s="321"/>
      <c r="F7" s="321"/>
      <c r="G7" s="321"/>
      <c r="H7" s="323">
        <v>5820</v>
      </c>
      <c r="I7" s="321"/>
      <c r="J7" s="321"/>
      <c r="K7" s="323">
        <v>250000</v>
      </c>
      <c r="L7" s="323">
        <v>42600</v>
      </c>
      <c r="M7" s="323">
        <v>12700</v>
      </c>
      <c r="N7" s="324">
        <v>8.4747978818453223E-2</v>
      </c>
      <c r="O7" s="324">
        <v>0.98129339161738238</v>
      </c>
      <c r="P7" s="324">
        <v>0.77852489549690573</v>
      </c>
      <c r="Q7" s="325">
        <v>6.714408169744984</v>
      </c>
      <c r="R7" s="625">
        <v>35.163016559579361</v>
      </c>
      <c r="S7" s="626">
        <v>0.98129339161738238</v>
      </c>
      <c r="T7" s="625">
        <v>26.815858982671401</v>
      </c>
    </row>
    <row r="8" spans="1:20" x14ac:dyDescent="0.2">
      <c r="A8" s="318" t="s">
        <v>714</v>
      </c>
      <c r="B8" s="320">
        <v>119.88799999999992</v>
      </c>
      <c r="C8" s="320" t="s">
        <v>43</v>
      </c>
      <c r="D8" s="323">
        <v>7910000</v>
      </c>
      <c r="E8" s="321"/>
      <c r="F8" s="321"/>
      <c r="G8" s="321"/>
      <c r="H8" s="323">
        <v>9710</v>
      </c>
      <c r="I8" s="321"/>
      <c r="J8" s="321"/>
      <c r="K8" s="323">
        <v>398000</v>
      </c>
      <c r="L8" s="323">
        <v>70300</v>
      </c>
      <c r="M8" s="323">
        <v>61900</v>
      </c>
      <c r="N8" s="324">
        <v>6.3895355098456674E-2</v>
      </c>
      <c r="O8" s="324">
        <v>0.98201552110536938</v>
      </c>
      <c r="P8" s="324">
        <v>0.76339603860686889</v>
      </c>
      <c r="Q8" s="325">
        <v>6.7542209510345552</v>
      </c>
      <c r="R8" s="625">
        <v>35.337953787482014</v>
      </c>
      <c r="S8" s="626">
        <v>0.98201552110536938</v>
      </c>
      <c r="T8" s="625">
        <v>26.924025615365501</v>
      </c>
    </row>
    <row r="9" spans="1:20" x14ac:dyDescent="0.2">
      <c r="A9" s="318" t="s">
        <v>715</v>
      </c>
      <c r="B9" s="320">
        <v>120.29439999999995</v>
      </c>
      <c r="C9" s="320" t="s">
        <v>43</v>
      </c>
      <c r="D9" s="323">
        <v>1980000</v>
      </c>
      <c r="E9" s="321"/>
      <c r="F9" s="321"/>
      <c r="G9" s="321"/>
      <c r="H9" s="321"/>
      <c r="I9" s="321"/>
      <c r="J9" s="321"/>
      <c r="K9" s="323">
        <v>122000</v>
      </c>
      <c r="L9" s="323">
        <v>8840</v>
      </c>
      <c r="M9" s="323">
        <v>8450</v>
      </c>
      <c r="N9" s="324">
        <v>6.5724841810228904E-2</v>
      </c>
      <c r="O9" s="324">
        <v>1</v>
      </c>
      <c r="P9" s="324">
        <v>1.1399075656616751</v>
      </c>
      <c r="Q9" s="325">
        <v>5.7634011429955923</v>
      </c>
      <c r="R9" s="625">
        <v>32.755531291688015</v>
      </c>
      <c r="S9" s="626">
        <v>1</v>
      </c>
      <c r="T9" s="625">
        <v>25.346724102698303</v>
      </c>
    </row>
    <row r="10" spans="1:20" x14ac:dyDescent="0.2">
      <c r="A10" s="318" t="s">
        <v>716</v>
      </c>
      <c r="B10" s="320">
        <v>120.396</v>
      </c>
      <c r="C10" s="320" t="s">
        <v>43</v>
      </c>
      <c r="D10" s="323">
        <v>357000</v>
      </c>
      <c r="E10" s="321"/>
      <c r="F10" s="321"/>
      <c r="G10" s="321"/>
      <c r="H10" s="321"/>
      <c r="I10" s="321"/>
      <c r="J10" s="321"/>
      <c r="K10" s="323">
        <v>10700</v>
      </c>
      <c r="L10" s="326"/>
      <c r="M10" s="326"/>
      <c r="N10" s="327"/>
      <c r="O10" s="327"/>
      <c r="P10" s="327"/>
      <c r="Q10" s="325"/>
      <c r="R10" s="627"/>
      <c r="S10" s="626"/>
      <c r="T10" s="625"/>
    </row>
    <row r="11" spans="1:20" x14ac:dyDescent="0.2">
      <c r="A11" s="318" t="s">
        <v>717</v>
      </c>
      <c r="B11" s="320">
        <v>120.49759999999998</v>
      </c>
      <c r="C11" s="320" t="s">
        <v>43</v>
      </c>
      <c r="D11" s="323">
        <v>369000</v>
      </c>
      <c r="E11" s="321"/>
      <c r="F11" s="321"/>
      <c r="G11" s="321"/>
      <c r="H11" s="321"/>
      <c r="I11" s="321"/>
      <c r="J11" s="321"/>
      <c r="K11" s="323">
        <v>17700</v>
      </c>
      <c r="L11" s="326"/>
      <c r="M11" s="326"/>
      <c r="N11" s="327"/>
      <c r="O11" s="327"/>
      <c r="P11" s="327"/>
      <c r="Q11" s="325"/>
      <c r="R11" s="627"/>
      <c r="S11" s="626"/>
      <c r="T11" s="625"/>
    </row>
    <row r="12" spans="1:20" x14ac:dyDescent="0.2">
      <c r="A12" s="318" t="s">
        <v>718</v>
      </c>
      <c r="B12" s="320">
        <v>120.65</v>
      </c>
      <c r="C12" s="320" t="s">
        <v>43</v>
      </c>
      <c r="D12" s="323">
        <v>12200000</v>
      </c>
      <c r="E12" s="321"/>
      <c r="F12" s="321"/>
      <c r="G12" s="321"/>
      <c r="H12" s="323">
        <v>19300</v>
      </c>
      <c r="I12" s="321"/>
      <c r="J12" s="321"/>
      <c r="K12" s="323">
        <v>763000</v>
      </c>
      <c r="L12" s="323">
        <v>79900</v>
      </c>
      <c r="M12" s="323">
        <v>80000</v>
      </c>
      <c r="N12" s="324">
        <v>7.1692715070536137E-2</v>
      </c>
      <c r="O12" s="324">
        <v>0.97951602632137547</v>
      </c>
      <c r="P12" s="324">
        <v>0.99082655093203353</v>
      </c>
      <c r="Q12" s="325">
        <v>6.1557196028104384</v>
      </c>
      <c r="R12" s="625">
        <v>33.119776418575626</v>
      </c>
      <c r="S12" s="626">
        <v>0.97951602632137547</v>
      </c>
      <c r="T12" s="625">
        <v>25.557010272178012</v>
      </c>
    </row>
    <row r="13" spans="1:20" x14ac:dyDescent="0.2">
      <c r="A13" s="318" t="s">
        <v>719</v>
      </c>
      <c r="B13" s="320">
        <v>120.90400000000002</v>
      </c>
      <c r="C13" s="320" t="s">
        <v>43</v>
      </c>
      <c r="D13" s="323">
        <v>2740000</v>
      </c>
      <c r="E13" s="321"/>
      <c r="F13" s="321"/>
      <c r="G13" s="321"/>
      <c r="H13" s="321"/>
      <c r="I13" s="321"/>
      <c r="J13" s="321"/>
      <c r="K13" s="323">
        <v>143000</v>
      </c>
      <c r="L13" s="323">
        <v>25100</v>
      </c>
      <c r="M13" s="323">
        <v>13900</v>
      </c>
      <c r="N13" s="324">
        <v>6.2286105407255307E-2</v>
      </c>
      <c r="O13" s="324">
        <v>1</v>
      </c>
      <c r="P13" s="324">
        <v>0.75566231598402367</v>
      </c>
      <c r="Q13" s="325">
        <v>6.7745728526736215</v>
      </c>
      <c r="R13" s="625">
        <v>36.295130389703822</v>
      </c>
      <c r="S13" s="626">
        <v>1</v>
      </c>
      <c r="T13" s="625">
        <v>27.525394668370584</v>
      </c>
    </row>
    <row r="14" spans="1:20" x14ac:dyDescent="0.2">
      <c r="A14" s="318" t="s">
        <v>720</v>
      </c>
      <c r="B14" s="320">
        <v>121.10720000000005</v>
      </c>
      <c r="C14" s="320" t="s">
        <v>43</v>
      </c>
      <c r="D14" s="323">
        <v>3550000</v>
      </c>
      <c r="E14" s="321"/>
      <c r="F14" s="321"/>
      <c r="G14" s="321"/>
      <c r="H14" s="321"/>
      <c r="I14" s="321"/>
      <c r="J14" s="321"/>
      <c r="K14" s="323">
        <v>118000</v>
      </c>
      <c r="L14" s="323">
        <v>24000</v>
      </c>
      <c r="M14" s="323">
        <v>6970</v>
      </c>
      <c r="N14" s="324">
        <v>4.0273373398540674E-2</v>
      </c>
      <c r="O14" s="324">
        <v>1</v>
      </c>
      <c r="P14" s="324">
        <v>0.69167076559451934</v>
      </c>
      <c r="Q14" s="325">
        <v>6.9429716694881067</v>
      </c>
      <c r="R14" s="625">
        <v>36.8846092036367</v>
      </c>
      <c r="S14" s="626">
        <v>1</v>
      </c>
      <c r="T14" s="625">
        <v>27.888226759079075</v>
      </c>
    </row>
    <row r="15" spans="1:20" x14ac:dyDescent="0.2">
      <c r="A15" s="318" t="s">
        <v>721</v>
      </c>
      <c r="B15" s="320">
        <v>121.3104</v>
      </c>
      <c r="C15" s="320" t="s">
        <v>43</v>
      </c>
      <c r="D15" s="323">
        <v>3860000</v>
      </c>
      <c r="E15" s="321"/>
      <c r="F15" s="321"/>
      <c r="G15" s="321"/>
      <c r="H15" s="323"/>
      <c r="I15" s="321"/>
      <c r="J15" s="321"/>
      <c r="K15" s="323">
        <v>211000</v>
      </c>
      <c r="L15" s="323">
        <v>30200</v>
      </c>
      <c r="M15" s="323">
        <v>18400</v>
      </c>
      <c r="N15" s="324">
        <v>6.3015826779298956E-2</v>
      </c>
      <c r="O15" s="324">
        <v>1</v>
      </c>
      <c r="P15" s="324">
        <v>0.84427551234054199</v>
      </c>
      <c r="Q15" s="325">
        <v>6.5413802306827842</v>
      </c>
      <c r="R15" s="625">
        <v>35.478841339523086</v>
      </c>
      <c r="S15" s="626">
        <v>1</v>
      </c>
      <c r="T15" s="625">
        <v>27.022957845029126</v>
      </c>
    </row>
    <row r="16" spans="1:20" x14ac:dyDescent="0.2">
      <c r="A16" s="318" t="s">
        <v>722</v>
      </c>
      <c r="B16" s="320">
        <v>121.5136000000001</v>
      </c>
      <c r="C16" s="320" t="s">
        <v>43</v>
      </c>
      <c r="D16" s="323">
        <v>8480000</v>
      </c>
      <c r="E16" s="321"/>
      <c r="F16" s="321"/>
      <c r="G16" s="321"/>
      <c r="H16" s="323">
        <v>18100</v>
      </c>
      <c r="I16" s="321"/>
      <c r="J16" s="321"/>
      <c r="K16" s="323">
        <v>456000</v>
      </c>
      <c r="L16" s="323">
        <v>90900</v>
      </c>
      <c r="M16" s="323">
        <v>65600</v>
      </c>
      <c r="N16" s="324">
        <v>6.9216077975105927E-2</v>
      </c>
      <c r="O16" s="324">
        <v>0.97129717729146847</v>
      </c>
      <c r="P16" s="324">
        <v>0.71730607209698916</v>
      </c>
      <c r="Q16" s="325">
        <v>6.8755103365868706</v>
      </c>
      <c r="R16" s="625">
        <v>35.234529153169042</v>
      </c>
      <c r="S16" s="626">
        <v>0.97129717729146847</v>
      </c>
      <c r="T16" s="625">
        <v>26.853087067245593</v>
      </c>
    </row>
    <row r="17" spans="1:20" x14ac:dyDescent="0.2">
      <c r="A17" s="318" t="s">
        <v>723</v>
      </c>
      <c r="B17" s="320">
        <v>121.6152</v>
      </c>
      <c r="C17" s="320" t="s">
        <v>43</v>
      </c>
      <c r="D17" s="323">
        <v>18400000</v>
      </c>
      <c r="E17" s="321"/>
      <c r="F17" s="321"/>
      <c r="G17" s="321"/>
      <c r="H17" s="323">
        <v>48900</v>
      </c>
      <c r="I17" s="321"/>
      <c r="J17" s="321"/>
      <c r="K17" s="323">
        <v>1150000</v>
      </c>
      <c r="L17" s="323">
        <v>235000</v>
      </c>
      <c r="M17" s="323">
        <v>131000</v>
      </c>
      <c r="N17" s="324">
        <v>7.8382561395248657E-2</v>
      </c>
      <c r="O17" s="324">
        <v>0.9687519969327113</v>
      </c>
      <c r="P17" s="324">
        <v>0.70771509792522702</v>
      </c>
      <c r="Q17" s="325">
        <v>6.9007497423020343</v>
      </c>
      <c r="R17" s="625">
        <v>35.197501163580981</v>
      </c>
      <c r="S17" s="626">
        <v>0.9687519969327113</v>
      </c>
      <c r="T17" s="625">
        <v>26.828567299678014</v>
      </c>
    </row>
    <row r="18" spans="1:20" x14ac:dyDescent="0.2">
      <c r="A18" s="318" t="s">
        <v>724</v>
      </c>
      <c r="B18" s="320">
        <v>121.71680000000012</v>
      </c>
      <c r="C18" s="320" t="s">
        <v>43</v>
      </c>
      <c r="D18" s="323">
        <v>4060000</v>
      </c>
      <c r="E18" s="321"/>
      <c r="F18" s="321"/>
      <c r="G18" s="321"/>
      <c r="H18" s="323">
        <v>31300</v>
      </c>
      <c r="I18" s="321"/>
      <c r="J18" s="321"/>
      <c r="K18" s="323">
        <v>267000</v>
      </c>
      <c r="L18" s="323">
        <v>56900</v>
      </c>
      <c r="M18" s="323">
        <v>38100</v>
      </c>
      <c r="N18" s="324">
        <v>8.831652931533919E-2</v>
      </c>
      <c r="O18" s="324">
        <v>0.92041698449021103</v>
      </c>
      <c r="P18" s="324">
        <v>0.71954098696699154</v>
      </c>
      <c r="Q18" s="325">
        <v>6.8696289816658123</v>
      </c>
      <c r="R18" s="625">
        <v>32.707528075240575</v>
      </c>
      <c r="S18" s="626">
        <v>0.92041698449021103</v>
      </c>
      <c r="T18" s="625">
        <v>25.263129123093702</v>
      </c>
    </row>
    <row r="19" spans="1:20" x14ac:dyDescent="0.2">
      <c r="A19" s="318" t="s">
        <v>725</v>
      </c>
      <c r="B19" s="320">
        <v>121.81840000000014</v>
      </c>
      <c r="C19" s="320" t="s">
        <v>43</v>
      </c>
      <c r="D19" s="323">
        <v>1930000</v>
      </c>
      <c r="E19" s="323"/>
      <c r="F19" s="321"/>
      <c r="G19" s="321"/>
      <c r="H19" s="323">
        <v>60700</v>
      </c>
      <c r="I19" s="323"/>
      <c r="J19" s="323"/>
      <c r="K19" s="323">
        <v>180000</v>
      </c>
      <c r="L19" s="323">
        <v>31400</v>
      </c>
      <c r="M19" s="323">
        <v>210000</v>
      </c>
      <c r="N19" s="324">
        <v>0.19986733551676961</v>
      </c>
      <c r="O19" s="324">
        <v>0.87409251192698612</v>
      </c>
      <c r="P19" s="324">
        <v>0.884546442201815</v>
      </c>
      <c r="Q19" s="325">
        <v>6.4354040994689079</v>
      </c>
      <c r="R19" s="325">
        <v>28.905533361342204</v>
      </c>
      <c r="S19" s="324">
        <v>0.87409251192698612</v>
      </c>
      <c r="T19" s="325">
        <v>22.891489542452277</v>
      </c>
    </row>
    <row r="20" spans="1:20" x14ac:dyDescent="0.2">
      <c r="A20" s="318" t="s">
        <v>726</v>
      </c>
      <c r="B20" s="320">
        <v>121.86920000000013</v>
      </c>
      <c r="C20" s="320" t="s">
        <v>186</v>
      </c>
      <c r="D20" s="323">
        <v>1900000</v>
      </c>
      <c r="E20" s="323">
        <v>44900</v>
      </c>
      <c r="F20" s="321"/>
      <c r="G20" s="321"/>
      <c r="H20" s="323">
        <v>330000</v>
      </c>
      <c r="I20" s="323">
        <v>77800</v>
      </c>
      <c r="J20" s="323">
        <v>3400</v>
      </c>
      <c r="K20" s="323">
        <v>1970000</v>
      </c>
      <c r="L20" s="323">
        <v>245000</v>
      </c>
      <c r="M20" s="323">
        <v>80700</v>
      </c>
      <c r="N20" s="324">
        <v>0.59155595683391371</v>
      </c>
      <c r="O20" s="324">
        <v>0.83425394287375532</v>
      </c>
      <c r="P20" s="324">
        <v>0.85279430996756</v>
      </c>
      <c r="Q20" s="325">
        <v>6.5189623421906315</v>
      </c>
      <c r="R20" s="623">
        <v>27.23553728619811</v>
      </c>
      <c r="S20" s="624">
        <v>0.83425394287375532</v>
      </c>
      <c r="T20" s="623">
        <v>21.836528491570348</v>
      </c>
    </row>
    <row r="21" spans="1:20" x14ac:dyDescent="0.2">
      <c r="A21" s="318" t="s">
        <v>727</v>
      </c>
      <c r="B21" s="320">
        <v>121.92</v>
      </c>
      <c r="C21" s="320" t="s">
        <v>186</v>
      </c>
      <c r="D21" s="323">
        <v>488000</v>
      </c>
      <c r="E21" s="323">
        <v>27700</v>
      </c>
      <c r="F21" s="321"/>
      <c r="G21" s="321"/>
      <c r="H21" s="323">
        <v>545000</v>
      </c>
      <c r="I21" s="323">
        <v>37500</v>
      </c>
      <c r="J21" s="323">
        <v>5590</v>
      </c>
      <c r="K21" s="323">
        <v>3170000</v>
      </c>
      <c r="L21" s="323">
        <v>367000</v>
      </c>
      <c r="M21" s="323">
        <v>107000</v>
      </c>
      <c r="N21" s="324">
        <v>0.89721533597737058</v>
      </c>
      <c r="O21" s="324">
        <v>0.85544123067099553</v>
      </c>
      <c r="P21" s="324">
        <v>0.963040292148303</v>
      </c>
      <c r="Q21" s="325">
        <v>6.2288413364518336</v>
      </c>
      <c r="R21" s="623">
        <v>27.263679607845461</v>
      </c>
      <c r="S21" s="624">
        <v>0.85544123067099553</v>
      </c>
      <c r="T21" s="623">
        <v>21.868239694319985</v>
      </c>
    </row>
    <row r="22" spans="1:20" x14ac:dyDescent="0.2">
      <c r="A22" s="318" t="s">
        <v>728</v>
      </c>
      <c r="B22" s="320">
        <v>122.02160000000016</v>
      </c>
      <c r="C22" s="320" t="s">
        <v>186</v>
      </c>
      <c r="D22" s="323">
        <v>382000</v>
      </c>
      <c r="E22" s="323">
        <v>66600</v>
      </c>
      <c r="F22" s="321"/>
      <c r="G22" s="321"/>
      <c r="H22" s="323">
        <v>520000</v>
      </c>
      <c r="I22" s="323">
        <v>51800</v>
      </c>
      <c r="J22" s="323">
        <v>5000</v>
      </c>
      <c r="K22" s="323">
        <v>2810000</v>
      </c>
      <c r="L22" s="323">
        <v>311000</v>
      </c>
      <c r="M22" s="323">
        <v>93000</v>
      </c>
      <c r="N22" s="324">
        <v>0.90989290937396805</v>
      </c>
      <c r="O22" s="324">
        <v>0.83320371234510293</v>
      </c>
      <c r="P22" s="324">
        <v>0.96277695511826222</v>
      </c>
      <c r="Q22" s="325">
        <v>6.2295343286361522</v>
      </c>
      <c r="R22" s="623">
        <v>26.170661169359008</v>
      </c>
      <c r="S22" s="624">
        <v>0.83320371234510293</v>
      </c>
      <c r="T22" s="623">
        <v>21.180369747177643</v>
      </c>
    </row>
    <row r="23" spans="1:20" x14ac:dyDescent="0.2">
      <c r="A23" s="318" t="s">
        <v>729</v>
      </c>
      <c r="B23" s="320">
        <v>122.12320000000017</v>
      </c>
      <c r="C23" s="320" t="s">
        <v>186</v>
      </c>
      <c r="D23" s="323">
        <v>213000</v>
      </c>
      <c r="E23" s="323">
        <v>29900</v>
      </c>
      <c r="F23" s="321"/>
      <c r="G23" s="321"/>
      <c r="H23" s="323">
        <v>287000</v>
      </c>
      <c r="I23" s="323">
        <v>66300</v>
      </c>
      <c r="J23" s="323">
        <v>2470</v>
      </c>
      <c r="K23" s="323">
        <v>1480000</v>
      </c>
      <c r="L23" s="323">
        <v>178000</v>
      </c>
      <c r="M23" s="323">
        <v>49600</v>
      </c>
      <c r="N23" s="324">
        <v>0.90764307735000671</v>
      </c>
      <c r="O23" s="324">
        <v>0.81575716462759229</v>
      </c>
      <c r="P23" s="324">
        <v>0.85931308253332739</v>
      </c>
      <c r="Q23" s="325">
        <v>6.5018076775438747</v>
      </c>
      <c r="R23" s="623">
        <v>26.264316167185228</v>
      </c>
      <c r="S23" s="624">
        <v>0.81575716462759229</v>
      </c>
      <c r="T23" s="623">
        <v>21.226166925491398</v>
      </c>
    </row>
    <row r="24" spans="1:20" x14ac:dyDescent="0.2">
      <c r="A24" s="318" t="s">
        <v>730</v>
      </c>
      <c r="B24" s="320">
        <v>122.22480000000017</v>
      </c>
      <c r="C24" s="320" t="s">
        <v>186</v>
      </c>
      <c r="D24" s="323">
        <v>607000</v>
      </c>
      <c r="E24" s="323">
        <v>54300</v>
      </c>
      <c r="F24" s="321"/>
      <c r="G24" s="321"/>
      <c r="H24" s="323">
        <v>493000</v>
      </c>
      <c r="I24" s="323">
        <v>123000</v>
      </c>
      <c r="J24" s="323">
        <v>3590</v>
      </c>
      <c r="K24" s="323">
        <v>2650000</v>
      </c>
      <c r="L24" s="323">
        <v>326000</v>
      </c>
      <c r="M24" s="323">
        <v>89300</v>
      </c>
      <c r="N24" s="324">
        <v>0.86033744498054621</v>
      </c>
      <c r="O24" s="324">
        <v>0.81977647565381806</v>
      </c>
      <c r="P24" s="324">
        <v>0.84509804001425681</v>
      </c>
      <c r="Q24" s="325">
        <v>6.5392156841730085</v>
      </c>
      <c r="R24" s="623">
        <v>26.59325823503212</v>
      </c>
      <c r="S24" s="624">
        <v>0.81977647565381806</v>
      </c>
      <c r="T24" s="623">
        <v>21.431364858387525</v>
      </c>
    </row>
    <row r="25" spans="1:20" x14ac:dyDescent="0.2">
      <c r="A25" s="318" t="s">
        <v>731</v>
      </c>
      <c r="B25" s="320">
        <v>122.32640000000019</v>
      </c>
      <c r="C25" s="320" t="s">
        <v>186</v>
      </c>
      <c r="D25" s="323">
        <v>417000</v>
      </c>
      <c r="E25" s="323">
        <v>87400</v>
      </c>
      <c r="F25" s="321"/>
      <c r="G25" s="321"/>
      <c r="H25" s="323">
        <v>675000</v>
      </c>
      <c r="I25" s="323">
        <v>145000</v>
      </c>
      <c r="J25" s="323">
        <v>8130</v>
      </c>
      <c r="K25" s="323">
        <v>3560000</v>
      </c>
      <c r="L25" s="323">
        <v>401000</v>
      </c>
      <c r="M25" s="323">
        <v>119000</v>
      </c>
      <c r="N25" s="324">
        <v>0.92295654712306441</v>
      </c>
      <c r="O25" s="324">
        <v>0.8167301567601436</v>
      </c>
      <c r="P25" s="324">
        <v>0.88966077196198856</v>
      </c>
      <c r="Q25" s="325">
        <v>6.4219453369421355</v>
      </c>
      <c r="R25" s="623">
        <v>26.032689280948361</v>
      </c>
      <c r="S25" s="624">
        <v>0.8167301567601436</v>
      </c>
      <c r="T25" s="623">
        <v>21.084258282539977</v>
      </c>
    </row>
    <row r="26" spans="1:20" x14ac:dyDescent="0.2">
      <c r="A26" s="318" t="s">
        <v>732</v>
      </c>
      <c r="B26" s="320">
        <v>122.4280000000002</v>
      </c>
      <c r="C26" s="320" t="s">
        <v>186</v>
      </c>
      <c r="D26" s="323">
        <v>396000</v>
      </c>
      <c r="E26" s="323">
        <v>41500</v>
      </c>
      <c r="F26" s="321"/>
      <c r="G26" s="321"/>
      <c r="H26" s="323">
        <v>381000</v>
      </c>
      <c r="I26" s="323">
        <v>73300</v>
      </c>
      <c r="J26" s="323">
        <v>7850</v>
      </c>
      <c r="K26" s="323">
        <v>1610000</v>
      </c>
      <c r="L26" s="323">
        <v>256000</v>
      </c>
      <c r="M26" s="323">
        <v>67500</v>
      </c>
      <c r="N26" s="324">
        <v>0.86022624993381924</v>
      </c>
      <c r="O26" s="324">
        <v>0.79334468539072278</v>
      </c>
      <c r="P26" s="324">
        <v>0.7814795293155018</v>
      </c>
      <c r="Q26" s="325">
        <v>6.7066328175907852</v>
      </c>
      <c r="R26" s="623">
        <v>25.877242039838617</v>
      </c>
      <c r="S26" s="624">
        <v>0.79334468539072278</v>
      </c>
      <c r="T26" s="623">
        <v>20.972696315893511</v>
      </c>
    </row>
    <row r="27" spans="1:20" x14ac:dyDescent="0.2">
      <c r="A27" s="318" t="s">
        <v>733</v>
      </c>
      <c r="B27" s="320">
        <v>122.52960000000022</v>
      </c>
      <c r="C27" s="320" t="s">
        <v>186</v>
      </c>
      <c r="D27" s="323">
        <v>561000</v>
      </c>
      <c r="E27" s="323">
        <v>65100</v>
      </c>
      <c r="F27" s="321"/>
      <c r="G27" s="321"/>
      <c r="H27" s="323">
        <v>480000</v>
      </c>
      <c r="I27" s="323">
        <v>61000</v>
      </c>
      <c r="J27" s="323">
        <v>5110</v>
      </c>
      <c r="K27" s="323">
        <v>2120000</v>
      </c>
      <c r="L27" s="323">
        <v>324000</v>
      </c>
      <c r="M27" s="323">
        <v>81800</v>
      </c>
      <c r="N27" s="324">
        <v>0.84829678665011721</v>
      </c>
      <c r="O27" s="324">
        <v>0.80516160292762851</v>
      </c>
      <c r="P27" s="324">
        <v>0.82951261846231727</v>
      </c>
      <c r="Q27" s="325">
        <v>6.5802299514149549</v>
      </c>
      <c r="R27" s="623">
        <v>26.016883905181047</v>
      </c>
      <c r="S27" s="624">
        <v>0.80516160292762851</v>
      </c>
      <c r="T27" s="623">
        <v>21.066673144075143</v>
      </c>
    </row>
    <row r="28" spans="1:20" x14ac:dyDescent="0.2">
      <c r="A28" s="318" t="s">
        <v>734</v>
      </c>
      <c r="B28" s="320">
        <v>122.8344000000002</v>
      </c>
      <c r="C28" s="320" t="s">
        <v>186</v>
      </c>
      <c r="D28" s="323">
        <v>302000</v>
      </c>
      <c r="E28" s="323">
        <v>25400</v>
      </c>
      <c r="F28" s="321"/>
      <c r="G28" s="321"/>
      <c r="H28" s="323">
        <v>367000</v>
      </c>
      <c r="I28" s="323">
        <v>41100</v>
      </c>
      <c r="J28" s="323">
        <v>4020</v>
      </c>
      <c r="K28" s="323">
        <v>2170000</v>
      </c>
      <c r="L28" s="323">
        <v>256000</v>
      </c>
      <c r="M28" s="323">
        <v>76700</v>
      </c>
      <c r="N28" s="324">
        <v>0.90685394575321843</v>
      </c>
      <c r="O28" s="324">
        <v>0.85119480855174101</v>
      </c>
      <c r="P28" s="324">
        <v>0.93141781541806667</v>
      </c>
      <c r="Q28" s="325">
        <v>6.3120583804787724</v>
      </c>
      <c r="R28" s="623">
        <v>27.345796899929187</v>
      </c>
      <c r="S28" s="624">
        <v>0.85119480855174101</v>
      </c>
      <c r="T28" s="623">
        <v>21.915900051683533</v>
      </c>
    </row>
    <row r="29" spans="1:20" x14ac:dyDescent="0.2">
      <c r="A29" s="318" t="s">
        <v>735</v>
      </c>
      <c r="B29" s="320">
        <v>123.13920000000017</v>
      </c>
      <c r="C29" s="320" t="s">
        <v>186</v>
      </c>
      <c r="D29" s="323">
        <v>154000</v>
      </c>
      <c r="E29" s="323">
        <v>29200</v>
      </c>
      <c r="F29" s="321"/>
      <c r="G29" s="321"/>
      <c r="H29" s="323">
        <v>215000</v>
      </c>
      <c r="I29" s="323">
        <v>33200</v>
      </c>
      <c r="J29" s="323">
        <v>2340</v>
      </c>
      <c r="K29" s="323">
        <v>1050000</v>
      </c>
      <c r="L29" s="323">
        <v>126000</v>
      </c>
      <c r="M29" s="323">
        <v>38800</v>
      </c>
      <c r="N29" s="324">
        <v>0.90658400766739056</v>
      </c>
      <c r="O29" s="324">
        <v>0.81282535094410324</v>
      </c>
      <c r="P29" s="324">
        <v>0.90014746211018648</v>
      </c>
      <c r="Q29" s="325">
        <v>6.3943487839205613</v>
      </c>
      <c r="R29" s="623">
        <v>25.743732784704356</v>
      </c>
      <c r="S29" s="624">
        <v>0.81282535094410324</v>
      </c>
      <c r="T29" s="623">
        <v>20.903749769102443</v>
      </c>
    </row>
    <row r="30" spans="1:20" x14ac:dyDescent="0.2">
      <c r="A30" s="318" t="s">
        <v>736</v>
      </c>
      <c r="B30" s="320">
        <v>123.44400000000016</v>
      </c>
      <c r="C30" s="320" t="s">
        <v>186</v>
      </c>
      <c r="D30" s="323">
        <v>415000</v>
      </c>
      <c r="E30" s="323">
        <v>54900</v>
      </c>
      <c r="F30" s="321"/>
      <c r="G30" s="321"/>
      <c r="H30" s="323">
        <v>396000</v>
      </c>
      <c r="I30" s="323">
        <v>119000</v>
      </c>
      <c r="J30" s="323">
        <v>6640</v>
      </c>
      <c r="K30" s="323">
        <v>1560000</v>
      </c>
      <c r="L30" s="323">
        <v>265000</v>
      </c>
      <c r="M30" s="323">
        <v>70900</v>
      </c>
      <c r="N30" s="324">
        <v>0.85627406976422016</v>
      </c>
      <c r="O30" s="324">
        <v>0.7668133503745288</v>
      </c>
      <c r="P30" s="324">
        <v>0.70703762608405185</v>
      </c>
      <c r="Q30" s="325">
        <v>6.902532562936706</v>
      </c>
      <c r="R30" s="623">
        <v>25.256025334818283</v>
      </c>
      <c r="S30" s="624">
        <v>0.7668133503745288</v>
      </c>
      <c r="T30" s="623">
        <v>20.572310521713817</v>
      </c>
    </row>
    <row r="31" spans="1:20" x14ac:dyDescent="0.2">
      <c r="A31" s="318" t="s">
        <v>737</v>
      </c>
      <c r="B31" s="320">
        <v>124.0536</v>
      </c>
      <c r="C31" s="320" t="s">
        <v>186</v>
      </c>
      <c r="D31" s="323">
        <v>406000</v>
      </c>
      <c r="E31" s="323">
        <v>36100</v>
      </c>
      <c r="F31" s="321"/>
      <c r="G31" s="321"/>
      <c r="H31" s="323">
        <v>361000</v>
      </c>
      <c r="I31" s="323">
        <v>36400</v>
      </c>
      <c r="J31" s="323">
        <v>4160</v>
      </c>
      <c r="K31" s="323">
        <v>2250000</v>
      </c>
      <c r="L31" s="323">
        <v>293000</v>
      </c>
      <c r="M31" s="323">
        <v>86900</v>
      </c>
      <c r="N31" s="324">
        <v>0.88311703266965302</v>
      </c>
      <c r="O31" s="324">
        <v>0.85732634406498975</v>
      </c>
      <c r="P31" s="324">
        <v>0.89908327698920887</v>
      </c>
      <c r="Q31" s="325">
        <v>6.3971492710810294</v>
      </c>
      <c r="R31" s="623">
        <v>27.945703018128455</v>
      </c>
      <c r="S31" s="624">
        <v>0.85732634406498975</v>
      </c>
      <c r="T31" s="623">
        <v>22.289314485485868</v>
      </c>
    </row>
    <row r="32" spans="1:20" ht="16" thickBot="1" x14ac:dyDescent="0.25"/>
    <row r="33" spans="12:18" x14ac:dyDescent="0.2">
      <c r="L33" s="269"/>
      <c r="M33" s="270" t="s">
        <v>666</v>
      </c>
      <c r="N33" s="271" t="s">
        <v>667</v>
      </c>
      <c r="O33" s="270" t="s">
        <v>672</v>
      </c>
      <c r="P33" s="270" t="s">
        <v>189</v>
      </c>
      <c r="Q33" s="270" t="s">
        <v>673</v>
      </c>
      <c r="R33" s="272" t="s">
        <v>668</v>
      </c>
    </row>
    <row r="34" spans="12:18" x14ac:dyDescent="0.2">
      <c r="L34" s="273" t="s">
        <v>602</v>
      </c>
      <c r="M34" s="274"/>
      <c r="N34" s="284"/>
      <c r="O34" s="284"/>
      <c r="P34" s="284"/>
      <c r="Q34" s="284"/>
      <c r="R34" s="285"/>
    </row>
    <row r="35" spans="12:18" x14ac:dyDescent="0.2">
      <c r="L35" s="273" t="s">
        <v>43</v>
      </c>
      <c r="M35" s="274">
        <f>COUNT(T5:T18)</f>
        <v>12</v>
      </c>
      <c r="N35" s="284">
        <f>MIN(T5:T18)</f>
        <v>25.263129123093702</v>
      </c>
      <c r="O35" s="284">
        <f>P35-(_xlfn.STDEV.P(T5:T18))</f>
        <v>25.778009483432541</v>
      </c>
      <c r="P35" s="284">
        <f>AVERAGE(T5:T18)</f>
        <v>26.605171274394348</v>
      </c>
      <c r="Q35" s="284">
        <f>P35+(_xlfn.STDEV.P(T5:T18))</f>
        <v>27.432333065356154</v>
      </c>
      <c r="R35" s="285">
        <f>MAX(T5:T18)</f>
        <v>27.888226759079075</v>
      </c>
    </row>
    <row r="36" spans="12:18" x14ac:dyDescent="0.2">
      <c r="L36" s="273" t="s">
        <v>186</v>
      </c>
      <c r="M36" s="274">
        <f>COUNT(T20:T31)</f>
        <v>12</v>
      </c>
      <c r="N36" s="284">
        <f>MIN(T20:T31)</f>
        <v>20.572310521713817</v>
      </c>
      <c r="O36" s="284">
        <f>P36-(_xlfn.STDEV.P(T20:T31))</f>
        <v>20.874621017435722</v>
      </c>
      <c r="P36" s="284">
        <f>AVERAGE(T20:T31)</f>
        <v>21.362297690620096</v>
      </c>
      <c r="Q36" s="284">
        <f>P36+(_xlfn.STDEV.P(T20:T31))</f>
        <v>21.849974363804471</v>
      </c>
      <c r="R36" s="285">
        <f>MAX(T20:T31)</f>
        <v>22.289314485485868</v>
      </c>
    </row>
    <row r="37" spans="12:18" x14ac:dyDescent="0.2">
      <c r="L37" s="273"/>
      <c r="M37" s="277"/>
      <c r="N37" s="284"/>
      <c r="O37" s="284"/>
      <c r="P37" s="286"/>
      <c r="Q37" s="284"/>
      <c r="R37" s="287"/>
    </row>
    <row r="38" spans="12:18" x14ac:dyDescent="0.2">
      <c r="L38" s="273"/>
      <c r="M38" s="277"/>
      <c r="N38" s="275"/>
      <c r="O38" s="279"/>
      <c r="P38" s="279"/>
      <c r="Q38" s="279"/>
      <c r="R38" s="278"/>
    </row>
    <row r="39" spans="12:18" x14ac:dyDescent="0.2">
      <c r="L39" s="273" t="s">
        <v>602</v>
      </c>
      <c r="M39" s="274"/>
      <c r="N39" s="275"/>
      <c r="O39" s="275"/>
      <c r="P39" s="275"/>
      <c r="Q39" s="275"/>
      <c r="R39" s="276"/>
    </row>
    <row r="40" spans="12:18" x14ac:dyDescent="0.2">
      <c r="L40" s="273" t="s">
        <v>43</v>
      </c>
      <c r="M40" s="274">
        <f t="shared" ref="M40:M41" si="0">M35</f>
        <v>12</v>
      </c>
      <c r="N40" s="275" t="str">
        <f>FIXED(N35,2)</f>
        <v>25.26</v>
      </c>
      <c r="O40" s="275" t="str">
        <f t="shared" ref="O40:R41" si="1">FIXED(O35,2)</f>
        <v>25.78</v>
      </c>
      <c r="P40" s="275" t="str">
        <f t="shared" si="1"/>
        <v>26.61</v>
      </c>
      <c r="Q40" s="275" t="str">
        <f t="shared" si="1"/>
        <v>27.43</v>
      </c>
      <c r="R40" s="276" t="str">
        <f t="shared" si="1"/>
        <v>27.89</v>
      </c>
    </row>
    <row r="41" spans="12:18" ht="16" thickBot="1" x14ac:dyDescent="0.25">
      <c r="L41" s="280" t="s">
        <v>186</v>
      </c>
      <c r="M41" s="281">
        <f t="shared" si="0"/>
        <v>12</v>
      </c>
      <c r="N41" s="282" t="str">
        <f>FIXED(N36,2)</f>
        <v>20.57</v>
      </c>
      <c r="O41" s="282" t="str">
        <f t="shared" si="1"/>
        <v>20.87</v>
      </c>
      <c r="P41" s="282" t="str">
        <f t="shared" si="1"/>
        <v>21.36</v>
      </c>
      <c r="Q41" s="282" t="str">
        <f t="shared" si="1"/>
        <v>21.85</v>
      </c>
      <c r="R41" s="283" t="str">
        <f t="shared" si="1"/>
        <v>22.29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50"/>
  <sheetViews>
    <sheetView topLeftCell="F1" workbookViewId="0">
      <pane ySplit="4" topLeftCell="A34" activePane="bottomLeft" state="frozen"/>
      <selection pane="bottomLeft" activeCell="I5" sqref="I5:T40"/>
    </sheetView>
  </sheetViews>
  <sheetFormatPr baseColWidth="10" defaultColWidth="11.5" defaultRowHeight="15" x14ac:dyDescent="0.2"/>
  <cols>
    <col min="1" max="1" width="24.83203125" bestFit="1" customWidth="1"/>
    <col min="4" max="4" width="19" customWidth="1"/>
    <col min="21" max="21" width="27.33203125" bestFit="1" customWidth="1"/>
    <col min="22" max="22" width="9.83203125" bestFit="1" customWidth="1"/>
  </cols>
  <sheetData>
    <row r="1" spans="1:22" ht="21" x14ac:dyDescent="0.25">
      <c r="A1" s="44" t="s">
        <v>243</v>
      </c>
      <c r="B1" s="45"/>
      <c r="C1" s="45"/>
      <c r="D1" s="45"/>
      <c r="E1" s="45"/>
      <c r="F1" s="44" t="s">
        <v>244</v>
      </c>
      <c r="G1" s="45"/>
      <c r="H1" s="45"/>
      <c r="I1" s="45"/>
      <c r="J1" s="45"/>
      <c r="K1" s="45"/>
      <c r="L1" s="45"/>
      <c r="M1" s="45"/>
      <c r="N1" s="45"/>
      <c r="O1" s="45"/>
      <c r="P1" s="45"/>
      <c r="Q1" s="45"/>
      <c r="R1" s="45"/>
      <c r="S1" s="45"/>
      <c r="T1" s="45"/>
      <c r="U1" s="45"/>
      <c r="V1" s="45"/>
    </row>
    <row r="2" spans="1:22" s="297" customFormat="1" ht="16" x14ac:dyDescent="0.2">
      <c r="A2" s="295" t="s">
        <v>670</v>
      </c>
      <c r="B2" s="296"/>
      <c r="C2" s="296"/>
      <c r="D2" s="296"/>
      <c r="E2" s="296"/>
      <c r="F2" s="295"/>
      <c r="G2" s="296"/>
      <c r="H2" s="296"/>
      <c r="I2" s="296"/>
      <c r="J2" s="296"/>
      <c r="K2" s="296"/>
      <c r="L2" s="296"/>
      <c r="M2" s="296"/>
      <c r="N2" s="296"/>
      <c r="O2" s="296"/>
      <c r="P2" s="296"/>
      <c r="Q2" s="296"/>
      <c r="R2" s="296"/>
      <c r="S2" s="296"/>
      <c r="T2" s="296"/>
      <c r="U2" s="296"/>
      <c r="V2" s="296"/>
    </row>
    <row r="3" spans="1:22" ht="21" x14ac:dyDescent="0.25">
      <c r="A3" s="44"/>
      <c r="B3" s="45"/>
      <c r="C3" s="45"/>
      <c r="D3" s="45"/>
      <c r="E3" s="45"/>
      <c r="F3" s="44"/>
      <c r="G3" s="45"/>
      <c r="H3" s="45"/>
      <c r="I3" s="45"/>
      <c r="J3" s="45"/>
      <c r="K3" s="45"/>
      <c r="L3" s="45"/>
      <c r="M3" s="45"/>
      <c r="N3" s="45"/>
      <c r="O3" s="45"/>
      <c r="P3" s="45"/>
      <c r="Q3" s="45"/>
      <c r="R3" s="45"/>
      <c r="S3" s="45"/>
      <c r="T3" s="45"/>
      <c r="U3" s="45"/>
      <c r="V3" s="45"/>
    </row>
    <row r="4" spans="1:22" s="80" customFormat="1" ht="59" thickBot="1" x14ac:dyDescent="0.25">
      <c r="A4" s="89" t="s">
        <v>474</v>
      </c>
      <c r="B4" s="89" t="s">
        <v>367</v>
      </c>
      <c r="C4" s="89" t="s">
        <v>669</v>
      </c>
      <c r="D4" s="89" t="s">
        <v>0</v>
      </c>
      <c r="E4" s="63"/>
      <c r="F4" s="107" t="s">
        <v>484</v>
      </c>
      <c r="G4" s="107" t="s">
        <v>227</v>
      </c>
      <c r="H4" s="107" t="s">
        <v>228</v>
      </c>
      <c r="I4" s="107" t="s">
        <v>485</v>
      </c>
      <c r="J4" s="107" t="s">
        <v>486</v>
      </c>
      <c r="K4" s="107" t="s">
        <v>487</v>
      </c>
      <c r="L4" s="107" t="s">
        <v>488</v>
      </c>
      <c r="M4" s="107" t="s">
        <v>489</v>
      </c>
      <c r="N4" s="107" t="s">
        <v>490</v>
      </c>
      <c r="O4" s="107" t="s">
        <v>491</v>
      </c>
      <c r="P4" s="107" t="s">
        <v>492</v>
      </c>
      <c r="Q4" s="107" t="s">
        <v>225</v>
      </c>
      <c r="R4" s="107" t="s">
        <v>493</v>
      </c>
      <c r="S4" s="107" t="s">
        <v>226</v>
      </c>
      <c r="T4" s="107" t="s">
        <v>494</v>
      </c>
      <c r="U4" s="107" t="s">
        <v>495</v>
      </c>
      <c r="V4" s="107" t="s">
        <v>496</v>
      </c>
    </row>
    <row r="5" spans="1:22" ht="16" x14ac:dyDescent="0.2">
      <c r="A5" s="45" t="s">
        <v>497</v>
      </c>
      <c r="B5" s="102">
        <v>33</v>
      </c>
      <c r="C5" s="102">
        <v>267</v>
      </c>
      <c r="D5" s="103" t="s">
        <v>671</v>
      </c>
      <c r="E5" s="45"/>
      <c r="F5" s="104">
        <v>116860514.215</v>
      </c>
      <c r="G5" s="104">
        <v>9727835.0529999994</v>
      </c>
      <c r="H5" s="104">
        <v>8084122.3150000004</v>
      </c>
      <c r="I5" s="104">
        <v>8563492.5889999997</v>
      </c>
      <c r="J5" s="104">
        <v>1353362.601</v>
      </c>
      <c r="K5" s="104">
        <v>1078605.297</v>
      </c>
      <c r="L5" s="104">
        <v>360044.23</v>
      </c>
      <c r="M5" s="104">
        <v>564377.35800000001</v>
      </c>
      <c r="N5" s="104">
        <v>0</v>
      </c>
      <c r="O5" s="104">
        <v>607394.75600000005</v>
      </c>
      <c r="P5" s="104">
        <v>1344850.4779999999</v>
      </c>
      <c r="Q5" s="104">
        <v>0</v>
      </c>
      <c r="R5" s="104">
        <v>0</v>
      </c>
      <c r="S5" s="104">
        <v>0</v>
      </c>
      <c r="T5" s="104">
        <v>0</v>
      </c>
      <c r="U5" s="105">
        <f>(F5+G5+H5)/(F5+G5+H5+I5+K5+M5+O5)</f>
        <v>0.92567089197283381</v>
      </c>
      <c r="V5" s="264">
        <f t="shared" ref="V5:V40" si="0">52.18*U5-23.05</f>
        <v>25.251507143142465</v>
      </c>
    </row>
    <row r="6" spans="1:22" ht="16" x14ac:dyDescent="0.2">
      <c r="A6" s="45" t="s">
        <v>497</v>
      </c>
      <c r="B6" s="102">
        <v>32</v>
      </c>
      <c r="C6" s="102">
        <v>262</v>
      </c>
      <c r="D6" s="103" t="s">
        <v>671</v>
      </c>
      <c r="E6" s="45"/>
      <c r="F6" s="104">
        <v>106288710.89399999</v>
      </c>
      <c r="G6" s="104">
        <v>10196012.856000001</v>
      </c>
      <c r="H6" s="104">
        <v>7225999.2690000003</v>
      </c>
      <c r="I6" s="104">
        <v>7937722.5360000003</v>
      </c>
      <c r="J6" s="104">
        <v>1215589.5379999999</v>
      </c>
      <c r="K6" s="104">
        <v>1061162.898</v>
      </c>
      <c r="L6" s="104">
        <v>397327.375</v>
      </c>
      <c r="M6" s="104">
        <v>669176.08499999996</v>
      </c>
      <c r="N6" s="104">
        <v>0</v>
      </c>
      <c r="O6" s="104">
        <v>468598.18599999999</v>
      </c>
      <c r="P6" s="104">
        <v>790704.65500000003</v>
      </c>
      <c r="Q6" s="104">
        <v>0</v>
      </c>
      <c r="R6" s="104">
        <v>0</v>
      </c>
      <c r="S6" s="104">
        <v>0</v>
      </c>
      <c r="T6" s="104">
        <v>0</v>
      </c>
      <c r="U6" s="105">
        <f t="shared" ref="U6:U40" si="1">(F6+G6+H6)/(F6+G6+H6+I6+K6+M6+O6)</f>
        <v>0.92426703086228967</v>
      </c>
      <c r="V6" s="264">
        <f t="shared" si="0"/>
        <v>25.178253670394273</v>
      </c>
    </row>
    <row r="7" spans="1:22" ht="16" x14ac:dyDescent="0.2">
      <c r="A7" s="45" t="s">
        <v>497</v>
      </c>
      <c r="B7" s="102">
        <v>31</v>
      </c>
      <c r="C7" s="102">
        <v>257</v>
      </c>
      <c r="D7" s="103" t="s">
        <v>671</v>
      </c>
      <c r="E7" s="45"/>
      <c r="F7" s="104">
        <v>157860748.486</v>
      </c>
      <c r="G7" s="104">
        <v>17616356.673999999</v>
      </c>
      <c r="H7" s="104">
        <v>13107611.111</v>
      </c>
      <c r="I7" s="104">
        <v>7313807.3470000001</v>
      </c>
      <c r="J7" s="104">
        <v>1554651.4450000001</v>
      </c>
      <c r="K7" s="104">
        <v>1068415.6510000001</v>
      </c>
      <c r="L7" s="104">
        <v>336365.40399999998</v>
      </c>
      <c r="M7" s="104">
        <v>669287.255</v>
      </c>
      <c r="N7" s="104">
        <v>0</v>
      </c>
      <c r="O7" s="104">
        <v>302812.49200000003</v>
      </c>
      <c r="P7" s="104">
        <v>1015613.787</v>
      </c>
      <c r="Q7" s="104">
        <v>0</v>
      </c>
      <c r="R7" s="104">
        <v>0</v>
      </c>
      <c r="S7" s="104">
        <v>0</v>
      </c>
      <c r="T7" s="104">
        <v>0</v>
      </c>
      <c r="U7" s="105">
        <f t="shared" si="1"/>
        <v>0.95274139557561521</v>
      </c>
      <c r="V7" s="264">
        <f t="shared" si="0"/>
        <v>26.664046021135601</v>
      </c>
    </row>
    <row r="8" spans="1:22" ht="16" x14ac:dyDescent="0.2">
      <c r="A8" s="45" t="s">
        <v>497</v>
      </c>
      <c r="B8" s="102">
        <v>30</v>
      </c>
      <c r="C8" s="102">
        <v>252</v>
      </c>
      <c r="D8" s="103" t="s">
        <v>671</v>
      </c>
      <c r="E8" s="45"/>
      <c r="F8" s="104">
        <v>116377583.362</v>
      </c>
      <c r="G8" s="104">
        <v>12591127.554</v>
      </c>
      <c r="H8" s="104">
        <v>9189100.9979999997</v>
      </c>
      <c r="I8" s="104">
        <v>4352663.074</v>
      </c>
      <c r="J8" s="104">
        <v>956933.8</v>
      </c>
      <c r="K8" s="104">
        <v>593605.81000000006</v>
      </c>
      <c r="L8" s="104">
        <v>166497.21400000001</v>
      </c>
      <c r="M8" s="104">
        <v>370376.32400000002</v>
      </c>
      <c r="N8" s="104">
        <v>0</v>
      </c>
      <c r="O8" s="104">
        <v>173786.67300000001</v>
      </c>
      <c r="P8" s="104">
        <v>570830.32900000003</v>
      </c>
      <c r="Q8" s="104">
        <v>0</v>
      </c>
      <c r="R8" s="104">
        <v>0</v>
      </c>
      <c r="S8" s="104">
        <v>0</v>
      </c>
      <c r="T8" s="104">
        <v>0</v>
      </c>
      <c r="U8" s="105">
        <f t="shared" si="1"/>
        <v>0.96177863553392695</v>
      </c>
      <c r="V8" s="264">
        <f t="shared" si="0"/>
        <v>27.135609202160307</v>
      </c>
    </row>
    <row r="9" spans="1:22" ht="16" x14ac:dyDescent="0.2">
      <c r="A9" s="45" t="s">
        <v>497</v>
      </c>
      <c r="B9" s="102">
        <v>29</v>
      </c>
      <c r="C9" s="102">
        <v>247</v>
      </c>
      <c r="D9" s="103" t="s">
        <v>671</v>
      </c>
      <c r="E9" s="45"/>
      <c r="F9" s="104">
        <v>109050747.90899999</v>
      </c>
      <c r="G9" s="104">
        <v>9818067.5010000002</v>
      </c>
      <c r="H9" s="104">
        <v>7371637.9560000002</v>
      </c>
      <c r="I9" s="104">
        <v>4133610.7259999998</v>
      </c>
      <c r="J9" s="104">
        <v>771736.63300000003</v>
      </c>
      <c r="K9" s="104">
        <v>588015.098</v>
      </c>
      <c r="L9" s="104">
        <v>201961.772</v>
      </c>
      <c r="M9" s="104">
        <v>331157.13900000002</v>
      </c>
      <c r="N9" s="104">
        <v>0</v>
      </c>
      <c r="O9" s="104">
        <v>165902.334</v>
      </c>
      <c r="P9" s="104">
        <v>664643.41799999995</v>
      </c>
      <c r="Q9" s="104">
        <v>0</v>
      </c>
      <c r="R9" s="104">
        <v>0</v>
      </c>
      <c r="S9" s="104">
        <v>0</v>
      </c>
      <c r="T9" s="104">
        <v>0</v>
      </c>
      <c r="U9" s="105">
        <f t="shared" si="1"/>
        <v>0.9603018447399212</v>
      </c>
      <c r="V9" s="264">
        <f t="shared" si="0"/>
        <v>27.058550258529085</v>
      </c>
    </row>
    <row r="10" spans="1:22" ht="16" x14ac:dyDescent="0.2">
      <c r="A10" s="45" t="s">
        <v>497</v>
      </c>
      <c r="B10" s="102">
        <v>28</v>
      </c>
      <c r="C10" s="102">
        <v>241</v>
      </c>
      <c r="D10" s="103" t="s">
        <v>671</v>
      </c>
      <c r="E10" s="45"/>
      <c r="F10" s="104">
        <v>89051885.650999993</v>
      </c>
      <c r="G10" s="104">
        <v>9070478.7530000005</v>
      </c>
      <c r="H10" s="104">
        <v>6484041.4390000002</v>
      </c>
      <c r="I10" s="104">
        <v>4343766.2649999997</v>
      </c>
      <c r="J10" s="104">
        <v>1102816.733</v>
      </c>
      <c r="K10" s="104">
        <v>724725.20900000003</v>
      </c>
      <c r="L10" s="104">
        <v>220434.44200000001</v>
      </c>
      <c r="M10" s="104">
        <v>427515.02799999999</v>
      </c>
      <c r="N10" s="104">
        <v>0</v>
      </c>
      <c r="O10" s="104">
        <v>252154.64799999999</v>
      </c>
      <c r="P10" s="104">
        <v>521709.696</v>
      </c>
      <c r="Q10" s="104">
        <v>0</v>
      </c>
      <c r="R10" s="104">
        <v>0</v>
      </c>
      <c r="S10" s="104">
        <v>0</v>
      </c>
      <c r="T10" s="104">
        <v>0</v>
      </c>
      <c r="U10" s="105">
        <f t="shared" si="1"/>
        <v>0.94791188705072238</v>
      </c>
      <c r="V10" s="264">
        <f t="shared" si="0"/>
        <v>26.412042266306695</v>
      </c>
    </row>
    <row r="11" spans="1:22" ht="16" x14ac:dyDescent="0.2">
      <c r="A11" s="45" t="s">
        <v>497</v>
      </c>
      <c r="B11" s="102">
        <v>27</v>
      </c>
      <c r="C11" s="102">
        <v>235</v>
      </c>
      <c r="D11" s="103" t="s">
        <v>671</v>
      </c>
      <c r="E11" s="45"/>
      <c r="F11" s="104">
        <v>208116954.366</v>
      </c>
      <c r="G11" s="104">
        <v>20528521.274999999</v>
      </c>
      <c r="H11" s="104">
        <v>11172091.714</v>
      </c>
      <c r="I11" s="104">
        <v>5920023.3550000004</v>
      </c>
      <c r="J11" s="104">
        <v>1501178.341</v>
      </c>
      <c r="K11" s="104">
        <v>1188727.777</v>
      </c>
      <c r="L11" s="104">
        <v>312342.31</v>
      </c>
      <c r="M11" s="104">
        <v>625437.84</v>
      </c>
      <c r="N11" s="104">
        <v>0</v>
      </c>
      <c r="O11" s="104">
        <v>247323.685</v>
      </c>
      <c r="P11" s="104">
        <v>601971.68500000006</v>
      </c>
      <c r="Q11" s="104">
        <v>0</v>
      </c>
      <c r="R11" s="104">
        <v>0</v>
      </c>
      <c r="S11" s="104">
        <v>0</v>
      </c>
      <c r="T11" s="104">
        <v>0</v>
      </c>
      <c r="U11" s="105">
        <f t="shared" si="1"/>
        <v>0.96779038624108904</v>
      </c>
      <c r="V11" s="264">
        <f t="shared" si="0"/>
        <v>27.449302354060027</v>
      </c>
    </row>
    <row r="12" spans="1:22" ht="16" x14ac:dyDescent="0.2">
      <c r="A12" s="45" t="s">
        <v>497</v>
      </c>
      <c r="B12" s="102">
        <v>26</v>
      </c>
      <c r="C12" s="102">
        <v>230</v>
      </c>
      <c r="D12" s="103" t="s">
        <v>671</v>
      </c>
      <c r="E12" s="45"/>
      <c r="F12" s="104">
        <v>198624090.77500001</v>
      </c>
      <c r="G12" s="104">
        <v>18406001.127999999</v>
      </c>
      <c r="H12" s="104">
        <v>12726953.109999999</v>
      </c>
      <c r="I12" s="104">
        <v>4871089.3140000002</v>
      </c>
      <c r="J12" s="104">
        <v>2039203.2949999999</v>
      </c>
      <c r="K12" s="104">
        <v>991598.77300000004</v>
      </c>
      <c r="L12" s="104">
        <v>412205.40700000001</v>
      </c>
      <c r="M12" s="104">
        <v>610590.01500000001</v>
      </c>
      <c r="N12" s="104">
        <v>0</v>
      </c>
      <c r="O12" s="104">
        <v>278621.77299999999</v>
      </c>
      <c r="P12" s="104">
        <v>873633.00300000003</v>
      </c>
      <c r="Q12" s="104">
        <v>0</v>
      </c>
      <c r="R12" s="104">
        <v>0</v>
      </c>
      <c r="S12" s="104">
        <v>0</v>
      </c>
      <c r="T12" s="104">
        <v>0</v>
      </c>
      <c r="U12" s="105">
        <f t="shared" si="1"/>
        <v>0.97145182023370236</v>
      </c>
      <c r="V12" s="264">
        <f t="shared" si="0"/>
        <v>27.640355979794588</v>
      </c>
    </row>
    <row r="13" spans="1:22" ht="16" x14ac:dyDescent="0.2">
      <c r="A13" s="45" t="s">
        <v>497</v>
      </c>
      <c r="B13" s="102">
        <v>25</v>
      </c>
      <c r="C13" s="102">
        <v>225</v>
      </c>
      <c r="D13" s="103" t="s">
        <v>671</v>
      </c>
      <c r="E13" s="45"/>
      <c r="F13" s="104">
        <v>164311114.13800001</v>
      </c>
      <c r="G13" s="104">
        <v>19746814.454999998</v>
      </c>
      <c r="H13" s="104">
        <v>11552156.313999999</v>
      </c>
      <c r="I13" s="104">
        <v>5817180.7869999995</v>
      </c>
      <c r="J13" s="104">
        <v>1631740.4779999999</v>
      </c>
      <c r="K13" s="104">
        <v>1328786.5209999999</v>
      </c>
      <c r="L13" s="104">
        <v>320215.5</v>
      </c>
      <c r="M13" s="104">
        <v>698178.64599999995</v>
      </c>
      <c r="N13" s="104">
        <v>0</v>
      </c>
      <c r="O13" s="104">
        <v>222232.88099999999</v>
      </c>
      <c r="P13" s="104">
        <v>625147.63500000001</v>
      </c>
      <c r="Q13" s="104">
        <v>0</v>
      </c>
      <c r="R13" s="104">
        <v>0</v>
      </c>
      <c r="S13" s="104">
        <v>0</v>
      </c>
      <c r="T13" s="104">
        <v>0</v>
      </c>
      <c r="U13" s="105">
        <f t="shared" si="1"/>
        <v>0.96039611702401806</v>
      </c>
      <c r="V13" s="264">
        <f t="shared" si="0"/>
        <v>27.063469386313262</v>
      </c>
    </row>
    <row r="14" spans="1:22" ht="16" x14ac:dyDescent="0.2">
      <c r="A14" s="45" t="s">
        <v>497</v>
      </c>
      <c r="B14" s="102">
        <v>24</v>
      </c>
      <c r="C14" s="102">
        <v>219</v>
      </c>
      <c r="D14" s="103" t="s">
        <v>671</v>
      </c>
      <c r="E14" s="45"/>
      <c r="F14" s="104">
        <v>88505233.656000003</v>
      </c>
      <c r="G14" s="104">
        <v>9652521.0020000003</v>
      </c>
      <c r="H14" s="104">
        <v>6915676.1799999997</v>
      </c>
      <c r="I14" s="104">
        <v>3439798.0120000001</v>
      </c>
      <c r="J14" s="104">
        <v>654192.91099999996</v>
      </c>
      <c r="K14" s="104">
        <v>708852.71299999999</v>
      </c>
      <c r="L14" s="104">
        <v>221775.88399999999</v>
      </c>
      <c r="M14" s="104">
        <v>433446.67</v>
      </c>
      <c r="N14" s="104">
        <v>0</v>
      </c>
      <c r="O14" s="104">
        <v>135676.15599999999</v>
      </c>
      <c r="P14" s="104">
        <v>391052.96399999998</v>
      </c>
      <c r="Q14" s="104">
        <v>0</v>
      </c>
      <c r="R14" s="104">
        <v>0</v>
      </c>
      <c r="S14" s="104">
        <v>0</v>
      </c>
      <c r="T14" s="104">
        <v>0</v>
      </c>
      <c r="U14" s="105">
        <f t="shared" si="1"/>
        <v>0.95702958559153328</v>
      </c>
      <c r="V14" s="264">
        <f t="shared" si="0"/>
        <v>26.887803776166205</v>
      </c>
    </row>
    <row r="15" spans="1:22" ht="16" x14ac:dyDescent="0.2">
      <c r="A15" s="45" t="s">
        <v>497</v>
      </c>
      <c r="B15" s="102">
        <v>23</v>
      </c>
      <c r="C15" s="102">
        <v>214</v>
      </c>
      <c r="D15" s="103" t="s">
        <v>671</v>
      </c>
      <c r="E15" s="45"/>
      <c r="F15" s="104">
        <v>32322437.421999998</v>
      </c>
      <c r="G15" s="104">
        <v>3988505.693</v>
      </c>
      <c r="H15" s="104">
        <v>2630789.1970000002</v>
      </c>
      <c r="I15" s="104">
        <v>1618955.9939999999</v>
      </c>
      <c r="J15" s="104">
        <v>366189.3</v>
      </c>
      <c r="K15" s="104">
        <v>225789.008</v>
      </c>
      <c r="L15" s="104">
        <v>65936.305999999997</v>
      </c>
      <c r="M15" s="104">
        <v>149586.5</v>
      </c>
      <c r="N15" s="104">
        <v>0</v>
      </c>
      <c r="O15" s="104">
        <v>84517.236000000004</v>
      </c>
      <c r="P15" s="104">
        <v>123977.679</v>
      </c>
      <c r="Q15" s="104">
        <v>0</v>
      </c>
      <c r="R15" s="104">
        <v>0</v>
      </c>
      <c r="S15" s="104">
        <v>0</v>
      </c>
      <c r="T15" s="104">
        <v>0</v>
      </c>
      <c r="U15" s="105">
        <f t="shared" si="1"/>
        <v>0.9493218115202684</v>
      </c>
      <c r="V15" s="264">
        <f t="shared" si="0"/>
        <v>26.485612125127606</v>
      </c>
    </row>
    <row r="16" spans="1:22" ht="16" x14ac:dyDescent="0.2">
      <c r="A16" s="45" t="s">
        <v>497</v>
      </c>
      <c r="B16" s="102">
        <v>22</v>
      </c>
      <c r="C16" s="102">
        <v>209</v>
      </c>
      <c r="D16" s="103" t="s">
        <v>671</v>
      </c>
      <c r="E16" s="45"/>
      <c r="F16" s="104">
        <v>48274042.234999999</v>
      </c>
      <c r="G16" s="104">
        <v>5967006.2549999999</v>
      </c>
      <c r="H16" s="104">
        <v>3939454.0920000002</v>
      </c>
      <c r="I16" s="104">
        <v>1019914.193</v>
      </c>
      <c r="J16" s="104">
        <v>366685.696</v>
      </c>
      <c r="K16" s="104">
        <v>168556.49400000001</v>
      </c>
      <c r="L16" s="104">
        <v>64454.275999999998</v>
      </c>
      <c r="M16" s="104">
        <v>70694.745999999999</v>
      </c>
      <c r="N16" s="104">
        <v>0</v>
      </c>
      <c r="O16" s="104">
        <v>51633.514999999999</v>
      </c>
      <c r="P16" s="104">
        <v>86364.14</v>
      </c>
      <c r="Q16" s="104">
        <v>0</v>
      </c>
      <c r="R16" s="104">
        <v>0</v>
      </c>
      <c r="S16" s="104">
        <v>0</v>
      </c>
      <c r="T16" s="104">
        <v>0</v>
      </c>
      <c r="U16" s="105">
        <f t="shared" si="1"/>
        <v>0.97796654444786346</v>
      </c>
      <c r="V16" s="264">
        <f t="shared" si="0"/>
        <v>27.980294289289514</v>
      </c>
    </row>
    <row r="17" spans="1:22" ht="16" x14ac:dyDescent="0.2">
      <c r="A17" s="45" t="s">
        <v>497</v>
      </c>
      <c r="B17" s="102">
        <v>20</v>
      </c>
      <c r="C17" s="102">
        <v>205</v>
      </c>
      <c r="D17" s="103" t="s">
        <v>671</v>
      </c>
      <c r="E17" s="45"/>
      <c r="F17" s="104">
        <v>146942040.87900001</v>
      </c>
      <c r="G17" s="104">
        <v>17692294.807999998</v>
      </c>
      <c r="H17" s="104">
        <v>10681288.35</v>
      </c>
      <c r="I17" s="104">
        <v>4512499.733</v>
      </c>
      <c r="J17" s="104">
        <v>1844999.2439999999</v>
      </c>
      <c r="K17" s="104">
        <v>766150.82799999998</v>
      </c>
      <c r="L17" s="104">
        <v>268929.11200000002</v>
      </c>
      <c r="M17" s="104">
        <v>302220.69500000001</v>
      </c>
      <c r="N17" s="104">
        <v>0</v>
      </c>
      <c r="O17" s="104">
        <v>300364.652</v>
      </c>
      <c r="P17" s="104">
        <v>537626.67799999996</v>
      </c>
      <c r="Q17" s="104">
        <v>0</v>
      </c>
      <c r="R17" s="104">
        <v>0</v>
      </c>
      <c r="S17" s="104">
        <v>0</v>
      </c>
      <c r="T17" s="104">
        <v>0</v>
      </c>
      <c r="U17" s="105">
        <f t="shared" si="1"/>
        <v>0.96754228572291379</v>
      </c>
      <c r="V17" s="264">
        <f t="shared" si="0"/>
        <v>27.436356469021643</v>
      </c>
    </row>
    <row r="18" spans="1:22" ht="16" x14ac:dyDescent="0.2">
      <c r="A18" s="45" t="s">
        <v>497</v>
      </c>
      <c r="B18" s="102" t="s">
        <v>498</v>
      </c>
      <c r="C18" s="102">
        <v>204</v>
      </c>
      <c r="D18" s="103" t="s">
        <v>671</v>
      </c>
      <c r="E18" s="45"/>
      <c r="F18" s="104">
        <v>97767384.890000001</v>
      </c>
      <c r="G18" s="104">
        <v>15697018.353</v>
      </c>
      <c r="H18" s="104">
        <v>10412943.688999999</v>
      </c>
      <c r="I18" s="104">
        <v>1623211.8459999999</v>
      </c>
      <c r="J18" s="104">
        <v>1358091.1170000001</v>
      </c>
      <c r="K18" s="104">
        <v>520882.01199999999</v>
      </c>
      <c r="L18" s="104">
        <v>208101.95300000001</v>
      </c>
      <c r="M18" s="104">
        <v>271270.16899999999</v>
      </c>
      <c r="N18" s="104">
        <v>0</v>
      </c>
      <c r="O18" s="104">
        <v>62877.366999999998</v>
      </c>
      <c r="P18" s="104">
        <v>310707.24200000003</v>
      </c>
      <c r="Q18" s="104">
        <v>0</v>
      </c>
      <c r="R18" s="104">
        <v>0</v>
      </c>
      <c r="S18" s="104">
        <v>0</v>
      </c>
      <c r="T18" s="104">
        <v>0</v>
      </c>
      <c r="U18" s="105">
        <f t="shared" si="1"/>
        <v>0.98038676858829477</v>
      </c>
      <c r="V18" s="264">
        <f t="shared" si="0"/>
        <v>28.106581584937221</v>
      </c>
    </row>
    <row r="19" spans="1:22" ht="16" x14ac:dyDescent="0.2">
      <c r="A19" s="45" t="s">
        <v>497</v>
      </c>
      <c r="B19" s="102">
        <v>21</v>
      </c>
      <c r="C19" s="108">
        <v>200</v>
      </c>
      <c r="D19" s="103" t="s">
        <v>671</v>
      </c>
      <c r="E19" s="45"/>
      <c r="F19" s="104">
        <v>196942040.87900001</v>
      </c>
      <c r="G19" s="104">
        <v>13692294.808</v>
      </c>
      <c r="H19" s="104">
        <v>10681288.35</v>
      </c>
      <c r="I19" s="104">
        <v>4512499.733</v>
      </c>
      <c r="J19" s="104">
        <v>1844999.2439999999</v>
      </c>
      <c r="K19" s="104">
        <v>766150.82799999998</v>
      </c>
      <c r="L19" s="104">
        <v>268929.11200000002</v>
      </c>
      <c r="M19" s="104">
        <v>302220.69500000001</v>
      </c>
      <c r="N19" s="104">
        <v>0</v>
      </c>
      <c r="O19" s="104">
        <v>300364.652</v>
      </c>
      <c r="P19" s="104">
        <v>537626.67799999996</v>
      </c>
      <c r="Q19" s="104">
        <v>0</v>
      </c>
      <c r="R19" s="104">
        <v>0</v>
      </c>
      <c r="S19" s="104">
        <v>0</v>
      </c>
      <c r="T19" s="104">
        <v>0</v>
      </c>
      <c r="U19" s="105">
        <f t="shared" si="1"/>
        <v>0.97411392081112491</v>
      </c>
      <c r="V19" s="264">
        <f t="shared" si="0"/>
        <v>27.779264387924496</v>
      </c>
    </row>
    <row r="20" spans="1:22" ht="16" x14ac:dyDescent="0.2">
      <c r="A20" s="45" t="s">
        <v>497</v>
      </c>
      <c r="B20" s="102" t="s">
        <v>499</v>
      </c>
      <c r="C20" s="102">
        <v>185</v>
      </c>
      <c r="D20" s="103" t="s">
        <v>671</v>
      </c>
      <c r="E20" s="45"/>
      <c r="F20" s="104">
        <v>317848768.27399999</v>
      </c>
      <c r="G20" s="104">
        <v>27252732.283</v>
      </c>
      <c r="H20" s="104">
        <v>19081122.436000001</v>
      </c>
      <c r="I20" s="104">
        <v>6118235.0240000002</v>
      </c>
      <c r="J20" s="104">
        <v>3605988.443</v>
      </c>
      <c r="K20" s="104">
        <v>552615.20299999998</v>
      </c>
      <c r="L20" s="104">
        <v>327998.37900000002</v>
      </c>
      <c r="M20" s="104">
        <v>263599.97700000001</v>
      </c>
      <c r="N20" s="104">
        <v>0</v>
      </c>
      <c r="O20" s="104">
        <v>147146.723</v>
      </c>
      <c r="P20" s="104">
        <v>1008936.285</v>
      </c>
      <c r="Q20" s="104">
        <v>0</v>
      </c>
      <c r="R20" s="104">
        <v>0</v>
      </c>
      <c r="S20" s="104">
        <v>0</v>
      </c>
      <c r="T20" s="104">
        <v>0</v>
      </c>
      <c r="U20" s="105">
        <f t="shared" si="1"/>
        <v>0.98092572204096062</v>
      </c>
      <c r="V20" s="264">
        <f t="shared" si="0"/>
        <v>28.134704176097326</v>
      </c>
    </row>
    <row r="21" spans="1:22" ht="16" x14ac:dyDescent="0.2">
      <c r="A21" s="45" t="s">
        <v>497</v>
      </c>
      <c r="B21" s="102" t="s">
        <v>500</v>
      </c>
      <c r="C21" s="102">
        <v>170</v>
      </c>
      <c r="D21" s="103" t="s">
        <v>671</v>
      </c>
      <c r="E21" s="45"/>
      <c r="F21" s="104">
        <v>70073318.373999998</v>
      </c>
      <c r="G21" s="104">
        <v>7005513.3890000004</v>
      </c>
      <c r="H21" s="104">
        <v>4686223.7220000001</v>
      </c>
      <c r="I21" s="104">
        <v>2040699.281</v>
      </c>
      <c r="J21" s="104">
        <v>766164.94299999997</v>
      </c>
      <c r="K21" s="104">
        <v>278028.158</v>
      </c>
      <c r="L21" s="104">
        <v>88489.721000000005</v>
      </c>
      <c r="M21" s="104">
        <v>180879.245</v>
      </c>
      <c r="N21" s="104">
        <v>0</v>
      </c>
      <c r="O21" s="104">
        <v>67636.447</v>
      </c>
      <c r="P21" s="104">
        <v>372137.22200000001</v>
      </c>
      <c r="Q21" s="104">
        <v>0</v>
      </c>
      <c r="R21" s="104">
        <v>0</v>
      </c>
      <c r="S21" s="104">
        <v>0</v>
      </c>
      <c r="T21" s="104">
        <v>0</v>
      </c>
      <c r="U21" s="105">
        <f t="shared" si="1"/>
        <v>0.9695580083416232</v>
      </c>
      <c r="V21" s="264">
        <f t="shared" si="0"/>
        <v>27.541536875265894</v>
      </c>
    </row>
    <row r="22" spans="1:22" ht="16" x14ac:dyDescent="0.2">
      <c r="A22" s="45" t="s">
        <v>497</v>
      </c>
      <c r="B22" s="102" t="s">
        <v>501</v>
      </c>
      <c r="C22" s="102">
        <v>140</v>
      </c>
      <c r="D22" s="103" t="s">
        <v>671</v>
      </c>
      <c r="E22" s="45"/>
      <c r="F22" s="104">
        <v>88532560.946999997</v>
      </c>
      <c r="G22" s="104">
        <v>7782546.8689999999</v>
      </c>
      <c r="H22" s="104">
        <v>6031413.1390000004</v>
      </c>
      <c r="I22" s="104">
        <v>2564122.9890000001</v>
      </c>
      <c r="J22" s="104">
        <v>1284333.8899999999</v>
      </c>
      <c r="K22" s="104">
        <v>237140.02299999999</v>
      </c>
      <c r="L22" s="104">
        <v>137644.76500000001</v>
      </c>
      <c r="M22" s="104">
        <v>161001.41699999999</v>
      </c>
      <c r="N22" s="104">
        <v>0</v>
      </c>
      <c r="O22" s="104">
        <v>118510.04</v>
      </c>
      <c r="P22" s="104">
        <v>642881.05299999996</v>
      </c>
      <c r="Q22" s="104">
        <v>0</v>
      </c>
      <c r="R22" s="104">
        <v>0</v>
      </c>
      <c r="S22" s="104">
        <v>0</v>
      </c>
      <c r="T22" s="104">
        <v>0</v>
      </c>
      <c r="U22" s="105">
        <f t="shared" si="1"/>
        <v>0.97077820827509642</v>
      </c>
      <c r="V22" s="264">
        <f t="shared" si="0"/>
        <v>27.605206907794528</v>
      </c>
    </row>
    <row r="23" spans="1:22" ht="16" x14ac:dyDescent="0.2">
      <c r="A23" s="45" t="s">
        <v>497</v>
      </c>
      <c r="B23" s="102" t="s">
        <v>502</v>
      </c>
      <c r="C23" s="102">
        <v>110</v>
      </c>
      <c r="D23" s="103" t="s">
        <v>671</v>
      </c>
      <c r="E23" s="45"/>
      <c r="F23" s="104">
        <v>113896884.624</v>
      </c>
      <c r="G23" s="104">
        <v>12040592.495999999</v>
      </c>
      <c r="H23" s="104">
        <v>7752058.0650000004</v>
      </c>
      <c r="I23" s="104">
        <v>2249438.13</v>
      </c>
      <c r="J23" s="104">
        <v>1462560.37</v>
      </c>
      <c r="K23" s="104">
        <v>321636.90299999999</v>
      </c>
      <c r="L23" s="104">
        <v>172716.51199999999</v>
      </c>
      <c r="M23" s="104">
        <v>201682.66899999999</v>
      </c>
      <c r="N23" s="104">
        <v>0</v>
      </c>
      <c r="O23" s="104">
        <v>107703.174</v>
      </c>
      <c r="P23" s="104">
        <v>306130.67300000001</v>
      </c>
      <c r="Q23" s="104">
        <v>0</v>
      </c>
      <c r="R23" s="104">
        <v>0</v>
      </c>
      <c r="S23" s="104">
        <v>0</v>
      </c>
      <c r="T23" s="104">
        <v>0</v>
      </c>
      <c r="U23" s="105">
        <f t="shared" si="1"/>
        <v>0.97890853804584277</v>
      </c>
      <c r="V23" s="264">
        <f t="shared" si="0"/>
        <v>28.029447515232075</v>
      </c>
    </row>
    <row r="24" spans="1:22" ht="16" x14ac:dyDescent="0.2">
      <c r="A24" s="45" t="s">
        <v>497</v>
      </c>
      <c r="B24" s="102" t="s">
        <v>503</v>
      </c>
      <c r="C24" s="102">
        <v>70</v>
      </c>
      <c r="D24" s="103" t="s">
        <v>671</v>
      </c>
      <c r="E24" s="45"/>
      <c r="F24" s="104">
        <v>89698695.871000007</v>
      </c>
      <c r="G24" s="104">
        <v>10568030.029999999</v>
      </c>
      <c r="H24" s="104">
        <v>8101329.7819999997</v>
      </c>
      <c r="I24" s="104">
        <v>3283908.2390000001</v>
      </c>
      <c r="J24" s="104">
        <v>1870935.358</v>
      </c>
      <c r="K24" s="104">
        <v>218008.981</v>
      </c>
      <c r="L24" s="104">
        <v>221265.834</v>
      </c>
      <c r="M24" s="104">
        <v>192381.34899999999</v>
      </c>
      <c r="N24" s="104">
        <v>0</v>
      </c>
      <c r="O24" s="104">
        <v>156991.84899999999</v>
      </c>
      <c r="P24" s="104">
        <v>844464.65899999999</v>
      </c>
      <c r="Q24" s="104">
        <v>0</v>
      </c>
      <c r="R24" s="104">
        <v>0</v>
      </c>
      <c r="S24" s="104">
        <v>0</v>
      </c>
      <c r="T24" s="104">
        <v>0</v>
      </c>
      <c r="U24" s="105">
        <f t="shared" si="1"/>
        <v>0.96568069096986386</v>
      </c>
      <c r="V24" s="264">
        <f t="shared" si="0"/>
        <v>27.339218454807497</v>
      </c>
    </row>
    <row r="25" spans="1:22" ht="16" x14ac:dyDescent="0.2">
      <c r="A25" s="45" t="s">
        <v>497</v>
      </c>
      <c r="B25" s="102">
        <v>1</v>
      </c>
      <c r="C25" s="102">
        <v>57</v>
      </c>
      <c r="D25" s="103" t="s">
        <v>671</v>
      </c>
      <c r="E25" s="45"/>
      <c r="F25" s="104">
        <v>37567532.262000002</v>
      </c>
      <c r="G25" s="104">
        <v>3261852.139</v>
      </c>
      <c r="H25" s="104">
        <v>2385905.1239999998</v>
      </c>
      <c r="I25" s="104">
        <v>1122081.416</v>
      </c>
      <c r="J25" s="104">
        <v>553605.87100000004</v>
      </c>
      <c r="K25" s="104">
        <v>121942.31600000001</v>
      </c>
      <c r="L25" s="104">
        <v>51782.31</v>
      </c>
      <c r="M25" s="104">
        <v>75016.987999999998</v>
      </c>
      <c r="N25" s="104">
        <v>0</v>
      </c>
      <c r="O25" s="104">
        <v>47308.203000000001</v>
      </c>
      <c r="P25" s="104">
        <v>179381.96900000001</v>
      </c>
      <c r="Q25" s="104">
        <v>0</v>
      </c>
      <c r="R25" s="104">
        <v>0</v>
      </c>
      <c r="S25" s="104">
        <v>0</v>
      </c>
      <c r="T25" s="104">
        <v>0</v>
      </c>
      <c r="U25" s="105">
        <f t="shared" si="1"/>
        <v>0.96935175622596936</v>
      </c>
      <c r="V25" s="264">
        <f t="shared" si="0"/>
        <v>27.53077463987108</v>
      </c>
    </row>
    <row r="26" spans="1:22" ht="16" x14ac:dyDescent="0.2">
      <c r="A26" s="45" t="s">
        <v>497</v>
      </c>
      <c r="B26" s="102">
        <v>2</v>
      </c>
      <c r="C26" s="102">
        <v>54</v>
      </c>
      <c r="D26" s="103" t="s">
        <v>671</v>
      </c>
      <c r="E26" s="45"/>
      <c r="F26" s="104">
        <v>52163567.343000002</v>
      </c>
      <c r="G26" s="104">
        <v>4181650.7480000001</v>
      </c>
      <c r="H26" s="104">
        <v>3043120.997</v>
      </c>
      <c r="I26" s="104">
        <v>1421950.716</v>
      </c>
      <c r="J26" s="104">
        <v>762245.42700000003</v>
      </c>
      <c r="K26" s="104">
        <v>142441.147</v>
      </c>
      <c r="L26" s="104">
        <v>64395.889000000003</v>
      </c>
      <c r="M26" s="104">
        <v>72047.812999999995</v>
      </c>
      <c r="N26" s="104">
        <v>0</v>
      </c>
      <c r="O26" s="104">
        <v>53119.148999999998</v>
      </c>
      <c r="P26" s="104">
        <v>182723.092</v>
      </c>
      <c r="Q26" s="104">
        <v>0</v>
      </c>
      <c r="R26" s="104">
        <v>0</v>
      </c>
      <c r="S26" s="104">
        <v>0</v>
      </c>
      <c r="T26" s="104">
        <v>0</v>
      </c>
      <c r="U26" s="105">
        <f t="shared" si="1"/>
        <v>0.97233763959253117</v>
      </c>
      <c r="V26" s="264">
        <f t="shared" si="0"/>
        <v>27.686578033938279</v>
      </c>
    </row>
    <row r="27" spans="1:22" ht="16" x14ac:dyDescent="0.2">
      <c r="A27" s="45" t="s">
        <v>497</v>
      </c>
      <c r="B27" s="102">
        <v>3</v>
      </c>
      <c r="C27" s="102">
        <v>51</v>
      </c>
      <c r="D27" s="103" t="s">
        <v>671</v>
      </c>
      <c r="E27" s="45"/>
      <c r="F27" s="104">
        <v>70771844.533000007</v>
      </c>
      <c r="G27" s="104">
        <v>6947349.6059999997</v>
      </c>
      <c r="H27" s="104">
        <v>4766240.4460000005</v>
      </c>
      <c r="I27" s="104">
        <v>1963114.686</v>
      </c>
      <c r="J27" s="104">
        <v>1117707.8629999999</v>
      </c>
      <c r="K27" s="104">
        <v>241353.198</v>
      </c>
      <c r="L27" s="104">
        <v>131686.016</v>
      </c>
      <c r="M27" s="104">
        <v>131132.9</v>
      </c>
      <c r="N27" s="104">
        <v>0</v>
      </c>
      <c r="O27" s="104">
        <v>96384.455000000002</v>
      </c>
      <c r="P27" s="104">
        <v>347471.25599999999</v>
      </c>
      <c r="Q27" s="104">
        <v>0</v>
      </c>
      <c r="R27" s="104">
        <v>0</v>
      </c>
      <c r="S27" s="104">
        <v>0</v>
      </c>
      <c r="T27" s="104">
        <v>0</v>
      </c>
      <c r="U27" s="105">
        <f t="shared" si="1"/>
        <v>0.97136058485949595</v>
      </c>
      <c r="V27" s="264">
        <f t="shared" si="0"/>
        <v>27.635595317968498</v>
      </c>
    </row>
    <row r="28" spans="1:22" ht="16" x14ac:dyDescent="0.2">
      <c r="A28" s="45" t="s">
        <v>497</v>
      </c>
      <c r="B28" s="102">
        <v>4</v>
      </c>
      <c r="C28" s="102">
        <v>49</v>
      </c>
      <c r="D28" s="103" t="s">
        <v>671</v>
      </c>
      <c r="E28" s="45"/>
      <c r="F28" s="104">
        <v>65521160.773999996</v>
      </c>
      <c r="G28" s="104">
        <v>6122504.335</v>
      </c>
      <c r="H28" s="104">
        <v>4422828.5750000002</v>
      </c>
      <c r="I28" s="104">
        <v>1575620.483</v>
      </c>
      <c r="J28" s="104">
        <v>846168.75100000005</v>
      </c>
      <c r="K28" s="104">
        <v>150175.73199999999</v>
      </c>
      <c r="L28" s="104">
        <v>79835.657000000007</v>
      </c>
      <c r="M28" s="104">
        <v>97501.819000000003</v>
      </c>
      <c r="N28" s="104">
        <v>0</v>
      </c>
      <c r="O28" s="104">
        <v>82625.508000000002</v>
      </c>
      <c r="P28" s="104">
        <v>305920.20799999998</v>
      </c>
      <c r="Q28" s="104">
        <v>0</v>
      </c>
      <c r="R28" s="104">
        <v>0</v>
      </c>
      <c r="S28" s="104">
        <v>0</v>
      </c>
      <c r="T28" s="104">
        <v>0</v>
      </c>
      <c r="U28" s="105">
        <f t="shared" si="1"/>
        <v>0.97555643893306843</v>
      </c>
      <c r="V28" s="264">
        <f t="shared" si="0"/>
        <v>27.854534983527511</v>
      </c>
    </row>
    <row r="29" spans="1:22" ht="16" x14ac:dyDescent="0.2">
      <c r="A29" s="45" t="s">
        <v>497</v>
      </c>
      <c r="B29" s="102">
        <v>5</v>
      </c>
      <c r="C29" s="102">
        <v>46</v>
      </c>
      <c r="D29" s="103" t="s">
        <v>671</v>
      </c>
      <c r="E29" s="45"/>
      <c r="F29" s="104">
        <v>116906431.108</v>
      </c>
      <c r="G29" s="104">
        <v>10263333.476</v>
      </c>
      <c r="H29" s="104">
        <v>7229402.4749999996</v>
      </c>
      <c r="I29" s="104">
        <v>2493503.1269999999</v>
      </c>
      <c r="J29" s="104">
        <v>1353003.4369999999</v>
      </c>
      <c r="K29" s="104">
        <v>317995.44799999997</v>
      </c>
      <c r="L29" s="104">
        <v>118862.35400000001</v>
      </c>
      <c r="M29" s="104">
        <v>180549.625</v>
      </c>
      <c r="N29" s="104">
        <v>0</v>
      </c>
      <c r="O29" s="104">
        <v>122812.364</v>
      </c>
      <c r="P29" s="104">
        <v>511267.52399999998</v>
      </c>
      <c r="Q29" s="104">
        <v>0</v>
      </c>
      <c r="R29" s="104">
        <v>0</v>
      </c>
      <c r="S29" s="104">
        <v>0</v>
      </c>
      <c r="T29" s="104">
        <v>0</v>
      </c>
      <c r="U29" s="105">
        <f t="shared" si="1"/>
        <v>0.97734877948205023</v>
      </c>
      <c r="V29" s="264">
        <f t="shared" si="0"/>
        <v>27.948059313373381</v>
      </c>
    </row>
    <row r="30" spans="1:22" ht="16" x14ac:dyDescent="0.2">
      <c r="A30" s="45" t="s">
        <v>497</v>
      </c>
      <c r="B30" s="102">
        <v>6</v>
      </c>
      <c r="C30" s="102">
        <v>43</v>
      </c>
      <c r="D30" s="103" t="s">
        <v>671</v>
      </c>
      <c r="E30" s="45"/>
      <c r="F30" s="104">
        <v>47063897.979999997</v>
      </c>
      <c r="G30" s="104">
        <v>3874573.1839999999</v>
      </c>
      <c r="H30" s="104">
        <v>2936955.9929999998</v>
      </c>
      <c r="I30" s="104">
        <v>1323074.1040000001</v>
      </c>
      <c r="J30" s="104">
        <v>491820.12</v>
      </c>
      <c r="K30" s="104">
        <v>178272.05</v>
      </c>
      <c r="L30" s="104">
        <v>77778.857999999993</v>
      </c>
      <c r="M30" s="104">
        <v>73977.058999999994</v>
      </c>
      <c r="N30" s="104">
        <v>0</v>
      </c>
      <c r="O30" s="104">
        <v>57184.77</v>
      </c>
      <c r="P30" s="104">
        <v>338995.78700000001</v>
      </c>
      <c r="Q30" s="104">
        <v>0</v>
      </c>
      <c r="R30" s="104">
        <v>0</v>
      </c>
      <c r="S30" s="104">
        <v>0</v>
      </c>
      <c r="T30" s="104">
        <v>0</v>
      </c>
      <c r="U30" s="105">
        <f t="shared" si="1"/>
        <v>0.97058964670758241</v>
      </c>
      <c r="V30" s="264">
        <f t="shared" si="0"/>
        <v>27.595367765201647</v>
      </c>
    </row>
    <row r="31" spans="1:22" ht="16" x14ac:dyDescent="0.2">
      <c r="A31" s="45" t="s">
        <v>497</v>
      </c>
      <c r="B31" s="102">
        <v>7</v>
      </c>
      <c r="C31" s="102">
        <v>39</v>
      </c>
      <c r="D31" s="103" t="s">
        <v>671</v>
      </c>
      <c r="E31" s="45"/>
      <c r="F31" s="104">
        <v>44593954.215000004</v>
      </c>
      <c r="G31" s="104">
        <v>3602848.5490000001</v>
      </c>
      <c r="H31" s="104">
        <v>2655383.298</v>
      </c>
      <c r="I31" s="104">
        <v>1324956.362</v>
      </c>
      <c r="J31" s="104">
        <v>598677.42000000004</v>
      </c>
      <c r="K31" s="104">
        <v>110356.788</v>
      </c>
      <c r="L31" s="104">
        <v>73539.92</v>
      </c>
      <c r="M31" s="104">
        <v>69330.914999999994</v>
      </c>
      <c r="N31" s="104">
        <v>0</v>
      </c>
      <c r="O31" s="104">
        <v>43798.796000000002</v>
      </c>
      <c r="P31" s="104">
        <v>310191.77600000001</v>
      </c>
      <c r="Q31" s="104">
        <v>0</v>
      </c>
      <c r="R31" s="104">
        <v>0</v>
      </c>
      <c r="S31" s="104">
        <v>0</v>
      </c>
      <c r="T31" s="104">
        <v>0</v>
      </c>
      <c r="U31" s="105">
        <f t="shared" si="1"/>
        <v>0.97044991839171701</v>
      </c>
      <c r="V31" s="264">
        <f t="shared" si="0"/>
        <v>27.588076741679796</v>
      </c>
    </row>
    <row r="32" spans="1:22" ht="16" x14ac:dyDescent="0.2">
      <c r="A32" s="45" t="s">
        <v>497</v>
      </c>
      <c r="B32" s="102">
        <v>8</v>
      </c>
      <c r="C32" s="102">
        <v>36</v>
      </c>
      <c r="D32" s="103" t="s">
        <v>671</v>
      </c>
      <c r="E32" s="45"/>
      <c r="F32" s="104">
        <v>109954404.015</v>
      </c>
      <c r="G32" s="104">
        <v>11835017.494000001</v>
      </c>
      <c r="H32" s="104">
        <v>8219865.3329999996</v>
      </c>
      <c r="I32" s="104">
        <v>3871080.5389999999</v>
      </c>
      <c r="J32" s="104">
        <v>1596747.8419999999</v>
      </c>
      <c r="K32" s="104">
        <v>342505.57699999999</v>
      </c>
      <c r="L32" s="104">
        <v>216603.11799999999</v>
      </c>
      <c r="M32" s="104">
        <v>186693.008</v>
      </c>
      <c r="N32" s="104">
        <v>0</v>
      </c>
      <c r="O32" s="104">
        <v>179446.98199999999</v>
      </c>
      <c r="P32" s="104">
        <v>1893505.2409999999</v>
      </c>
      <c r="Q32" s="104">
        <v>0</v>
      </c>
      <c r="R32" s="104">
        <v>0</v>
      </c>
      <c r="S32" s="104">
        <v>0</v>
      </c>
      <c r="T32" s="104">
        <v>0</v>
      </c>
      <c r="U32" s="105">
        <f t="shared" si="1"/>
        <v>0.96597251138345586</v>
      </c>
      <c r="V32" s="264">
        <f t="shared" si="0"/>
        <v>27.354445643988729</v>
      </c>
    </row>
    <row r="33" spans="1:27" ht="16" x14ac:dyDescent="0.2">
      <c r="A33" s="45" t="s">
        <v>497</v>
      </c>
      <c r="B33" s="102">
        <v>9</v>
      </c>
      <c r="C33" s="102">
        <v>31</v>
      </c>
      <c r="D33" s="103" t="s">
        <v>671</v>
      </c>
      <c r="E33" s="45"/>
      <c r="F33" s="104">
        <v>23297049.202</v>
      </c>
      <c r="G33" s="104">
        <v>2698678.5639999998</v>
      </c>
      <c r="H33" s="104">
        <v>1726616.7450000001</v>
      </c>
      <c r="I33" s="104">
        <v>844591.42599999998</v>
      </c>
      <c r="J33" s="104">
        <v>393853.44699999999</v>
      </c>
      <c r="K33" s="104">
        <v>88345.953999999998</v>
      </c>
      <c r="L33" s="104">
        <v>42280.220999999998</v>
      </c>
      <c r="M33" s="104">
        <v>45632.87</v>
      </c>
      <c r="N33" s="104">
        <v>0</v>
      </c>
      <c r="O33" s="104">
        <v>33762.966999999997</v>
      </c>
      <c r="P33" s="104">
        <v>330902.57299999997</v>
      </c>
      <c r="Q33" s="104">
        <v>0</v>
      </c>
      <c r="R33" s="104">
        <v>0</v>
      </c>
      <c r="S33" s="104">
        <v>0</v>
      </c>
      <c r="T33" s="104">
        <v>0</v>
      </c>
      <c r="U33" s="105">
        <f t="shared" si="1"/>
        <v>0.96476963386947789</v>
      </c>
      <c r="V33" s="264">
        <f t="shared" si="0"/>
        <v>27.291679495309356</v>
      </c>
    </row>
    <row r="34" spans="1:27" ht="16" x14ac:dyDescent="0.2">
      <c r="A34" s="45" t="s">
        <v>497</v>
      </c>
      <c r="B34" s="102">
        <v>10</v>
      </c>
      <c r="C34" s="102">
        <v>26</v>
      </c>
      <c r="D34" s="103" t="s">
        <v>671</v>
      </c>
      <c r="E34" s="45"/>
      <c r="F34" s="104">
        <v>86910604.427000001</v>
      </c>
      <c r="G34" s="104">
        <v>9267266.3330000006</v>
      </c>
      <c r="H34" s="104">
        <v>6807734.3159999996</v>
      </c>
      <c r="I34" s="104">
        <v>3424993.429</v>
      </c>
      <c r="J34" s="104">
        <v>1057023.801</v>
      </c>
      <c r="K34" s="104">
        <v>305607.72499999998</v>
      </c>
      <c r="L34" s="104">
        <v>216847.93700000001</v>
      </c>
      <c r="M34" s="104">
        <v>194267.21900000001</v>
      </c>
      <c r="N34" s="104">
        <v>0</v>
      </c>
      <c r="O34" s="104">
        <v>135180.34099999999</v>
      </c>
      <c r="P34" s="104">
        <v>1168677.557</v>
      </c>
      <c r="Q34" s="104">
        <v>0</v>
      </c>
      <c r="R34" s="104">
        <v>0</v>
      </c>
      <c r="S34" s="104">
        <v>0</v>
      </c>
      <c r="T34" s="104">
        <v>0</v>
      </c>
      <c r="U34" s="105">
        <f t="shared" si="1"/>
        <v>0.96207180235486323</v>
      </c>
      <c r="V34" s="264">
        <f t="shared" si="0"/>
        <v>27.150906646876759</v>
      </c>
    </row>
    <row r="35" spans="1:27" ht="16" x14ac:dyDescent="0.2">
      <c r="A35" s="45" t="s">
        <v>497</v>
      </c>
      <c r="B35" s="102">
        <v>11</v>
      </c>
      <c r="C35" s="102">
        <v>21</v>
      </c>
      <c r="D35" s="103" t="s">
        <v>671</v>
      </c>
      <c r="E35" s="45"/>
      <c r="F35" s="104">
        <v>32150721.473000001</v>
      </c>
      <c r="G35" s="104">
        <v>3482079.26</v>
      </c>
      <c r="H35" s="104">
        <v>2582208.7030000002</v>
      </c>
      <c r="I35" s="104">
        <v>1180941.817</v>
      </c>
      <c r="J35" s="104">
        <v>498507.18900000001</v>
      </c>
      <c r="K35" s="104">
        <v>101001.058</v>
      </c>
      <c r="L35" s="104">
        <v>86261.884999999995</v>
      </c>
      <c r="M35" s="104">
        <v>59764.847999999998</v>
      </c>
      <c r="N35" s="104">
        <v>0</v>
      </c>
      <c r="O35" s="104">
        <v>46704.283000000003</v>
      </c>
      <c r="P35" s="104">
        <v>492314.32500000001</v>
      </c>
      <c r="Q35" s="104">
        <v>0</v>
      </c>
      <c r="R35" s="104">
        <v>0</v>
      </c>
      <c r="S35" s="104">
        <v>0</v>
      </c>
      <c r="T35" s="104">
        <v>0</v>
      </c>
      <c r="U35" s="105">
        <f t="shared" si="1"/>
        <v>0.96494211976019917</v>
      </c>
      <c r="V35" s="264">
        <f t="shared" si="0"/>
        <v>27.300679809087189</v>
      </c>
    </row>
    <row r="36" spans="1:27" ht="16" x14ac:dyDescent="0.2">
      <c r="A36" s="45" t="s">
        <v>497</v>
      </c>
      <c r="B36" s="102">
        <v>12</v>
      </c>
      <c r="C36" s="102">
        <v>16</v>
      </c>
      <c r="D36" s="103" t="s">
        <v>671</v>
      </c>
      <c r="E36" s="45"/>
      <c r="F36" s="104">
        <v>45917290.156999998</v>
      </c>
      <c r="G36" s="104">
        <v>5494267.6260000002</v>
      </c>
      <c r="H36" s="104">
        <v>4742517.5329999998</v>
      </c>
      <c r="I36" s="104">
        <v>1382797.8970000001</v>
      </c>
      <c r="J36" s="104">
        <v>937541.85100000002</v>
      </c>
      <c r="K36" s="104">
        <v>101721.85</v>
      </c>
      <c r="L36" s="104">
        <v>110943.95299999999</v>
      </c>
      <c r="M36" s="104">
        <v>98466.091</v>
      </c>
      <c r="N36" s="104">
        <v>0</v>
      </c>
      <c r="O36" s="104">
        <v>58756.631999999998</v>
      </c>
      <c r="P36" s="104">
        <v>813897.06200000003</v>
      </c>
      <c r="Q36" s="104">
        <v>0</v>
      </c>
      <c r="R36" s="104">
        <v>0</v>
      </c>
      <c r="S36" s="104">
        <v>0</v>
      </c>
      <c r="T36" s="104">
        <v>0</v>
      </c>
      <c r="U36" s="105">
        <f t="shared" si="1"/>
        <v>0.97159409568216748</v>
      </c>
      <c r="V36" s="264">
        <f t="shared" si="0"/>
        <v>27.647779912695501</v>
      </c>
    </row>
    <row r="37" spans="1:27" ht="16" x14ac:dyDescent="0.2">
      <c r="A37" s="45" t="s">
        <v>497</v>
      </c>
      <c r="B37" s="102">
        <v>13</v>
      </c>
      <c r="C37" s="102">
        <v>12</v>
      </c>
      <c r="D37" s="103" t="s">
        <v>671</v>
      </c>
      <c r="E37" s="45"/>
      <c r="F37" s="104">
        <v>29886622.710000001</v>
      </c>
      <c r="G37" s="104">
        <v>3321673.4939999999</v>
      </c>
      <c r="H37" s="104">
        <v>2732227.9049999998</v>
      </c>
      <c r="I37" s="104">
        <v>1091464.1529999999</v>
      </c>
      <c r="J37" s="104">
        <v>537458.95400000003</v>
      </c>
      <c r="K37" s="104">
        <v>86067.8</v>
      </c>
      <c r="L37" s="104">
        <v>69543.036999999997</v>
      </c>
      <c r="M37" s="104">
        <v>64465.851000000002</v>
      </c>
      <c r="N37" s="104">
        <v>0</v>
      </c>
      <c r="O37" s="104">
        <v>63204.14</v>
      </c>
      <c r="P37" s="104">
        <v>445851.04300000001</v>
      </c>
      <c r="Q37" s="104">
        <v>0</v>
      </c>
      <c r="R37" s="104">
        <v>0</v>
      </c>
      <c r="S37" s="104">
        <v>0</v>
      </c>
      <c r="T37" s="104">
        <v>0</v>
      </c>
      <c r="U37" s="105">
        <f t="shared" si="1"/>
        <v>0.96495700091487757</v>
      </c>
      <c r="V37" s="264">
        <f t="shared" si="0"/>
        <v>27.301456307738309</v>
      </c>
    </row>
    <row r="38" spans="1:27" ht="16" x14ac:dyDescent="0.2">
      <c r="A38" s="45" t="s">
        <v>497</v>
      </c>
      <c r="B38" s="102">
        <v>14</v>
      </c>
      <c r="C38" s="102">
        <v>8</v>
      </c>
      <c r="D38" s="103" t="s">
        <v>671</v>
      </c>
      <c r="E38" s="45"/>
      <c r="F38" s="104">
        <v>18922179.271000002</v>
      </c>
      <c r="G38" s="104">
        <v>2037085.2080000001</v>
      </c>
      <c r="H38" s="104">
        <v>1490399.3119999999</v>
      </c>
      <c r="I38" s="104">
        <v>690549.04500000004</v>
      </c>
      <c r="J38" s="104">
        <v>374815.24599999998</v>
      </c>
      <c r="K38" s="104">
        <v>55602.427000000003</v>
      </c>
      <c r="L38" s="104">
        <v>47033.688000000002</v>
      </c>
      <c r="M38" s="104">
        <v>40473.11</v>
      </c>
      <c r="N38" s="104">
        <v>0</v>
      </c>
      <c r="O38" s="104">
        <v>47979.908000000003</v>
      </c>
      <c r="P38" s="104">
        <v>356659.005</v>
      </c>
      <c r="Q38" s="104">
        <v>0</v>
      </c>
      <c r="R38" s="104">
        <v>0</v>
      </c>
      <c r="S38" s="104">
        <v>0</v>
      </c>
      <c r="T38" s="104">
        <v>0</v>
      </c>
      <c r="U38" s="105">
        <f t="shared" si="1"/>
        <v>0.96415586352434191</v>
      </c>
      <c r="V38" s="264">
        <f t="shared" si="0"/>
        <v>27.259652958700162</v>
      </c>
    </row>
    <row r="39" spans="1:27" ht="16" x14ac:dyDescent="0.2">
      <c r="A39" s="45" t="s">
        <v>497</v>
      </c>
      <c r="B39" s="102">
        <v>15</v>
      </c>
      <c r="C39" s="102">
        <v>5</v>
      </c>
      <c r="D39" s="103" t="s">
        <v>671</v>
      </c>
      <c r="E39" s="45"/>
      <c r="F39" s="104">
        <v>27949499.013999999</v>
      </c>
      <c r="G39" s="104">
        <v>2883165.7420000001</v>
      </c>
      <c r="H39" s="104">
        <v>2010193.1070000001</v>
      </c>
      <c r="I39" s="104">
        <v>1024339.14</v>
      </c>
      <c r="J39" s="104">
        <v>531211.78899999999</v>
      </c>
      <c r="K39" s="104">
        <v>91006.168999999994</v>
      </c>
      <c r="L39" s="104">
        <v>61912.078000000001</v>
      </c>
      <c r="M39" s="104">
        <v>50477.218999999997</v>
      </c>
      <c r="N39" s="104">
        <v>0</v>
      </c>
      <c r="O39" s="104">
        <v>53002.739000000001</v>
      </c>
      <c r="P39" s="104">
        <v>509903.83600000001</v>
      </c>
      <c r="Q39" s="104">
        <v>0</v>
      </c>
      <c r="R39" s="104">
        <v>0</v>
      </c>
      <c r="S39" s="104">
        <v>0</v>
      </c>
      <c r="T39" s="104">
        <v>0</v>
      </c>
      <c r="U39" s="105">
        <f t="shared" si="1"/>
        <v>0.96421711568543977</v>
      </c>
      <c r="V39" s="264">
        <f t="shared" si="0"/>
        <v>27.262849096466244</v>
      </c>
    </row>
    <row r="40" spans="1:27" ht="16" x14ac:dyDescent="0.2">
      <c r="A40" s="45" t="s">
        <v>497</v>
      </c>
      <c r="B40" s="102">
        <v>16</v>
      </c>
      <c r="C40" s="102">
        <v>2</v>
      </c>
      <c r="D40" s="103" t="s">
        <v>671</v>
      </c>
      <c r="E40" s="45"/>
      <c r="F40" s="104">
        <v>19238703.441</v>
      </c>
      <c r="G40" s="104">
        <v>2116468.2779999999</v>
      </c>
      <c r="H40" s="104">
        <v>1657110.912</v>
      </c>
      <c r="I40" s="104">
        <v>902259.86199999996</v>
      </c>
      <c r="J40" s="104">
        <v>442921.67499999999</v>
      </c>
      <c r="K40" s="104">
        <v>85376.58</v>
      </c>
      <c r="L40" s="104">
        <v>53413.432999999997</v>
      </c>
      <c r="M40" s="104">
        <v>49007.216</v>
      </c>
      <c r="N40" s="104">
        <v>0</v>
      </c>
      <c r="O40" s="104">
        <v>39562.75</v>
      </c>
      <c r="P40" s="104">
        <v>461884.93300000002</v>
      </c>
      <c r="Q40" s="104">
        <v>0</v>
      </c>
      <c r="R40" s="104">
        <v>0</v>
      </c>
      <c r="S40" s="104">
        <v>0</v>
      </c>
      <c r="T40" s="104">
        <v>0</v>
      </c>
      <c r="U40" s="105">
        <f t="shared" si="1"/>
        <v>0.95532279312921686</v>
      </c>
      <c r="V40" s="264">
        <f t="shared" si="0"/>
        <v>26.798743345482531</v>
      </c>
    </row>
    <row r="41" spans="1:27" ht="17" thickBot="1" x14ac:dyDescent="0.25">
      <c r="A41" s="45"/>
      <c r="B41" s="102"/>
      <c r="C41" s="102"/>
      <c r="D41" s="103"/>
      <c r="F41" s="104"/>
      <c r="G41" s="104"/>
      <c r="H41" s="104"/>
      <c r="I41" s="104"/>
      <c r="J41" s="104"/>
      <c r="K41" s="104"/>
      <c r="L41" s="104"/>
      <c r="M41" s="104"/>
      <c r="N41" s="104"/>
      <c r="O41" s="104"/>
      <c r="P41" s="104"/>
      <c r="Q41" s="104"/>
      <c r="R41" s="104"/>
      <c r="S41" s="104"/>
      <c r="T41" s="104"/>
      <c r="U41" s="105"/>
      <c r="V41" s="45"/>
    </row>
    <row r="42" spans="1:27" x14ac:dyDescent="0.2">
      <c r="U42" s="269"/>
      <c r="V42" s="270" t="s">
        <v>666</v>
      </c>
      <c r="W42" s="271" t="s">
        <v>667</v>
      </c>
      <c r="X42" s="270" t="s">
        <v>672</v>
      </c>
      <c r="Y42" s="270" t="s">
        <v>189</v>
      </c>
      <c r="Z42" s="270" t="s">
        <v>673</v>
      </c>
      <c r="AA42" s="272" t="s">
        <v>668</v>
      </c>
    </row>
    <row r="43" spans="1:27" x14ac:dyDescent="0.2">
      <c r="U43" s="273" t="s">
        <v>602</v>
      </c>
      <c r="V43" s="274">
        <f>COUNT(V5:V40)</f>
        <v>36</v>
      </c>
      <c r="W43" s="284">
        <f>MIN(V5:V40)</f>
        <v>25.178253670394273</v>
      </c>
      <c r="X43" s="284">
        <f>Y43-(_xlfn.STDEV.P(V5:V40))</f>
        <v>26.635400263724044</v>
      </c>
      <c r="Y43" s="284">
        <f>AVERAGE(V5:V40)</f>
        <v>27.288509523761252</v>
      </c>
      <c r="Z43" s="284">
        <f>Y43+(_xlfn.STDEV.P(V5:V40))</f>
        <v>27.941618783798461</v>
      </c>
      <c r="AA43" s="285">
        <f>MAX(V5:V40)</f>
        <v>28.134704176097326</v>
      </c>
    </row>
    <row r="44" spans="1:27" x14ac:dyDescent="0.2">
      <c r="U44" s="273" t="s">
        <v>43</v>
      </c>
      <c r="V44" s="274"/>
      <c r="W44" s="284"/>
      <c r="X44" s="284"/>
      <c r="Y44" s="284"/>
      <c r="Z44" s="284"/>
      <c r="AA44" s="285"/>
    </row>
    <row r="45" spans="1:27" x14ac:dyDescent="0.2">
      <c r="U45" s="273" t="s">
        <v>186</v>
      </c>
      <c r="V45" s="274"/>
      <c r="W45" s="284"/>
      <c r="X45" s="284"/>
      <c r="Y45" s="284"/>
      <c r="Z45" s="284"/>
      <c r="AA45" s="285"/>
    </row>
    <row r="46" spans="1:27" x14ac:dyDescent="0.2">
      <c r="U46" s="273"/>
      <c r="V46" s="277"/>
      <c r="W46" s="284"/>
      <c r="X46" s="284"/>
      <c r="Y46" s="286"/>
      <c r="Z46" s="284"/>
      <c r="AA46" s="287"/>
    </row>
    <row r="47" spans="1:27" x14ac:dyDescent="0.2">
      <c r="U47" s="273"/>
      <c r="V47" s="277"/>
      <c r="W47" s="275"/>
      <c r="X47" s="279"/>
      <c r="Y47" s="279"/>
      <c r="Z47" s="279"/>
      <c r="AA47" s="278"/>
    </row>
    <row r="48" spans="1:27" x14ac:dyDescent="0.2">
      <c r="U48" s="273" t="s">
        <v>602</v>
      </c>
      <c r="V48" s="274">
        <f t="shared" ref="V48" si="2">V43</f>
        <v>36</v>
      </c>
      <c r="W48" s="275" t="str">
        <f>FIXED(W43,2)</f>
        <v>25.18</v>
      </c>
      <c r="X48" s="275" t="str">
        <f t="shared" ref="X48:AA48" si="3">FIXED(X43,2)</f>
        <v>26.64</v>
      </c>
      <c r="Y48" s="275" t="str">
        <f t="shared" si="3"/>
        <v>27.29</v>
      </c>
      <c r="Z48" s="275" t="str">
        <f t="shared" si="3"/>
        <v>27.94</v>
      </c>
      <c r="AA48" s="276" t="str">
        <f t="shared" si="3"/>
        <v>28.13</v>
      </c>
    </row>
    <row r="49" spans="21:27" x14ac:dyDescent="0.2">
      <c r="U49" s="273" t="s">
        <v>43</v>
      </c>
      <c r="V49" s="274"/>
      <c r="W49" s="275"/>
      <c r="X49" s="275"/>
      <c r="Y49" s="275"/>
      <c r="Z49" s="275"/>
      <c r="AA49" s="276"/>
    </row>
    <row r="50" spans="21:27" ht="16" thickBot="1" x14ac:dyDescent="0.25">
      <c r="U50" s="280" t="s">
        <v>186</v>
      </c>
      <c r="V50" s="281"/>
      <c r="W50" s="282"/>
      <c r="X50" s="282"/>
      <c r="Y50" s="282"/>
      <c r="Z50" s="282"/>
      <c r="AA50" s="283"/>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AA23"/>
  <sheetViews>
    <sheetView workbookViewId="0">
      <selection activeCell="I7" sqref="I7:T13"/>
    </sheetView>
  </sheetViews>
  <sheetFormatPr baseColWidth="10" defaultColWidth="11.5" defaultRowHeight="15" x14ac:dyDescent="0.2"/>
  <cols>
    <col min="1" max="1" width="21.83203125" customWidth="1"/>
    <col min="2" max="2" width="10" customWidth="1"/>
    <col min="3" max="3" width="6.1640625" bestFit="1" customWidth="1"/>
    <col min="4" max="4" width="9.1640625" bestFit="1" customWidth="1"/>
    <col min="6" max="9" width="10.6640625" customWidth="1"/>
    <col min="10" max="10" width="3.6640625" bestFit="1" customWidth="1"/>
    <col min="11" max="11" width="10.6640625" customWidth="1"/>
    <col min="12" max="12" width="3.6640625" bestFit="1" customWidth="1"/>
    <col min="13" max="13" width="10.6640625" customWidth="1"/>
    <col min="14" max="14" width="3.5" bestFit="1" customWidth="1"/>
    <col min="15" max="16" width="10.6640625" customWidth="1"/>
    <col min="17" max="17" width="3.6640625" bestFit="1" customWidth="1"/>
    <col min="18" max="18" width="4.1640625" bestFit="1" customWidth="1"/>
    <col min="19" max="19" width="3.5" bestFit="1" customWidth="1"/>
    <col min="20" max="20" width="4" bestFit="1" customWidth="1"/>
    <col min="21" max="21" width="27.33203125" bestFit="1" customWidth="1"/>
    <col min="22" max="22" width="9.83203125" bestFit="1" customWidth="1"/>
  </cols>
  <sheetData>
    <row r="2" spans="1:27" x14ac:dyDescent="0.2">
      <c r="A2" t="s">
        <v>527</v>
      </c>
      <c r="B2" t="s">
        <v>77</v>
      </c>
    </row>
    <row r="5" spans="1:27" ht="21" x14ac:dyDescent="0.25">
      <c r="A5" s="44" t="s">
        <v>243</v>
      </c>
      <c r="B5" s="45"/>
      <c r="C5" s="45"/>
      <c r="D5" s="45"/>
      <c r="E5" s="45"/>
      <c r="F5" s="44" t="s">
        <v>244</v>
      </c>
      <c r="G5" s="45"/>
      <c r="H5" s="45"/>
      <c r="I5" s="45"/>
      <c r="J5" s="45"/>
      <c r="K5" s="45"/>
      <c r="L5" s="45"/>
      <c r="M5" s="45"/>
      <c r="N5" s="45"/>
      <c r="O5" s="45"/>
      <c r="P5" s="45"/>
      <c r="Q5" s="45"/>
      <c r="R5" s="45"/>
      <c r="S5" s="45"/>
      <c r="T5" s="45"/>
      <c r="U5" s="45"/>
      <c r="V5" s="45"/>
    </row>
    <row r="6" spans="1:27" s="63" customFormat="1" ht="48" thickBot="1" x14ac:dyDescent="0.25">
      <c r="A6" s="89" t="s">
        <v>474</v>
      </c>
      <c r="B6" s="89" t="s">
        <v>367</v>
      </c>
      <c r="C6" s="89" t="s">
        <v>453</v>
      </c>
      <c r="D6" s="89" t="s">
        <v>0</v>
      </c>
      <c r="F6" s="107" t="s">
        <v>484</v>
      </c>
      <c r="G6" s="107" t="s">
        <v>227</v>
      </c>
      <c r="H6" s="107" t="s">
        <v>228</v>
      </c>
      <c r="I6" s="107" t="s">
        <v>485</v>
      </c>
      <c r="J6" s="107" t="s">
        <v>486</v>
      </c>
      <c r="K6" s="107" t="s">
        <v>487</v>
      </c>
      <c r="L6" s="107" t="s">
        <v>488</v>
      </c>
      <c r="M6" s="107" t="s">
        <v>489</v>
      </c>
      <c r="N6" s="107" t="s">
        <v>490</v>
      </c>
      <c r="O6" s="107" t="s">
        <v>491</v>
      </c>
      <c r="P6" s="107" t="s">
        <v>492</v>
      </c>
      <c r="Q6" s="107" t="s">
        <v>225</v>
      </c>
      <c r="R6" s="107" t="s">
        <v>493</v>
      </c>
      <c r="S6" s="107" t="s">
        <v>226</v>
      </c>
      <c r="T6" s="107" t="s">
        <v>494</v>
      </c>
      <c r="U6" s="107" t="s">
        <v>495</v>
      </c>
      <c r="V6" s="107" t="s">
        <v>496</v>
      </c>
    </row>
    <row r="7" spans="1:27" ht="16" x14ac:dyDescent="0.2">
      <c r="A7" s="45" t="s">
        <v>475</v>
      </c>
      <c r="B7" s="102" t="s">
        <v>476</v>
      </c>
      <c r="C7" s="102">
        <v>42.4</v>
      </c>
      <c r="D7" s="103" t="s">
        <v>483</v>
      </c>
      <c r="E7" s="45"/>
      <c r="F7" s="104">
        <v>2103540.452</v>
      </c>
      <c r="G7" s="104">
        <v>199635.111</v>
      </c>
      <c r="H7" s="104">
        <v>138268.57</v>
      </c>
      <c r="I7" s="104">
        <v>202388.32800000001</v>
      </c>
      <c r="J7" s="104">
        <v>0</v>
      </c>
      <c r="K7" s="104">
        <v>38242.038999999997</v>
      </c>
      <c r="L7" s="104">
        <v>0</v>
      </c>
      <c r="M7" s="104">
        <v>20839.232</v>
      </c>
      <c r="N7" s="104">
        <v>0</v>
      </c>
      <c r="O7" s="104">
        <v>20746.666000000001</v>
      </c>
      <c r="P7" s="104">
        <v>0</v>
      </c>
      <c r="Q7" s="104">
        <v>0</v>
      </c>
      <c r="R7" s="104">
        <v>0</v>
      </c>
      <c r="S7" s="104">
        <v>0</v>
      </c>
      <c r="T7" s="104">
        <v>0</v>
      </c>
      <c r="U7" s="105">
        <f t="shared" ref="U7:U13" si="0">(F7+G7+H7)/(F7+G7+H7+I7+K7+M7+O7)</f>
        <v>0.89638346057855334</v>
      </c>
      <c r="V7" s="264">
        <f>52.18*U7-23.05</f>
        <v>23.723288972988914</v>
      </c>
    </row>
    <row r="8" spans="1:27" ht="16" x14ac:dyDescent="0.2">
      <c r="A8" s="45" t="s">
        <v>475</v>
      </c>
      <c r="B8" s="102" t="s">
        <v>477</v>
      </c>
      <c r="C8" s="102">
        <v>41.5</v>
      </c>
      <c r="D8" s="103" t="s">
        <v>483</v>
      </c>
      <c r="E8" s="45"/>
      <c r="F8" s="104">
        <v>4881252.5889999997</v>
      </c>
      <c r="G8" s="104">
        <v>592623.63199999998</v>
      </c>
      <c r="H8" s="104">
        <v>439330.14399999997</v>
      </c>
      <c r="I8" s="104">
        <v>397659.93199999997</v>
      </c>
      <c r="J8" s="104">
        <v>0</v>
      </c>
      <c r="K8" s="104">
        <v>111205.33500000001</v>
      </c>
      <c r="L8" s="104">
        <v>0</v>
      </c>
      <c r="M8" s="104">
        <v>45527.521000000001</v>
      </c>
      <c r="N8" s="104">
        <v>0</v>
      </c>
      <c r="O8" s="104">
        <v>34580.822999999997</v>
      </c>
      <c r="P8" s="104">
        <v>0</v>
      </c>
      <c r="Q8" s="104">
        <v>0</v>
      </c>
      <c r="R8" s="104">
        <v>0</v>
      </c>
      <c r="S8" s="104">
        <v>0</v>
      </c>
      <c r="T8" s="104">
        <v>0</v>
      </c>
      <c r="U8" s="105">
        <f t="shared" si="0"/>
        <v>0.90941905435193393</v>
      </c>
      <c r="V8" s="264">
        <f t="shared" ref="V8:V13" si="1">52.18*U8-23.05</f>
        <v>24.403486256083912</v>
      </c>
    </row>
    <row r="9" spans="1:27" ht="16" x14ac:dyDescent="0.2">
      <c r="A9" s="45" t="s">
        <v>475</v>
      </c>
      <c r="B9" s="102" t="s">
        <v>478</v>
      </c>
      <c r="C9" s="102">
        <v>36.1</v>
      </c>
      <c r="D9" s="103" t="s">
        <v>483</v>
      </c>
      <c r="E9" s="45"/>
      <c r="F9" s="104">
        <v>10723837.023</v>
      </c>
      <c r="G9" s="104">
        <v>957990.11899999995</v>
      </c>
      <c r="H9" s="104">
        <v>630527.12100000004</v>
      </c>
      <c r="I9" s="104">
        <v>996223.58600000001</v>
      </c>
      <c r="J9" s="104">
        <v>0</v>
      </c>
      <c r="K9" s="104">
        <v>218395.26300000001</v>
      </c>
      <c r="L9" s="104">
        <v>0</v>
      </c>
      <c r="M9" s="104">
        <v>113022.514</v>
      </c>
      <c r="N9" s="104">
        <v>0</v>
      </c>
      <c r="O9" s="104">
        <v>112383.266</v>
      </c>
      <c r="P9" s="104">
        <v>0</v>
      </c>
      <c r="Q9" s="104">
        <v>0</v>
      </c>
      <c r="R9" s="104">
        <v>0</v>
      </c>
      <c r="S9" s="104">
        <v>0</v>
      </c>
      <c r="T9" s="104">
        <v>0</v>
      </c>
      <c r="U9" s="105">
        <f t="shared" si="0"/>
        <v>0.89528905214808407</v>
      </c>
      <c r="V9" s="264">
        <f t="shared" si="1"/>
        <v>23.666182741087024</v>
      </c>
    </row>
    <row r="10" spans="1:27" ht="16" x14ac:dyDescent="0.2">
      <c r="A10" s="45" t="s">
        <v>475</v>
      </c>
      <c r="B10" s="102" t="s">
        <v>479</v>
      </c>
      <c r="C10" s="102">
        <v>28.1</v>
      </c>
      <c r="D10" s="103" t="s">
        <v>483</v>
      </c>
      <c r="E10" s="45"/>
      <c r="F10" s="104">
        <v>14159715.563999999</v>
      </c>
      <c r="G10" s="104">
        <v>1183424.5649999999</v>
      </c>
      <c r="H10" s="104">
        <v>1061764.564</v>
      </c>
      <c r="I10" s="104">
        <v>954598.72600000002</v>
      </c>
      <c r="J10" s="104">
        <v>0</v>
      </c>
      <c r="K10" s="104">
        <v>163541.606</v>
      </c>
      <c r="L10" s="104">
        <v>0</v>
      </c>
      <c r="M10" s="104">
        <v>105276.274</v>
      </c>
      <c r="N10" s="104">
        <v>0</v>
      </c>
      <c r="O10" s="104">
        <v>78192.657000000007</v>
      </c>
      <c r="P10" s="104">
        <v>0</v>
      </c>
      <c r="Q10" s="104">
        <v>0</v>
      </c>
      <c r="R10" s="104">
        <v>0</v>
      </c>
      <c r="S10" s="104">
        <v>0</v>
      </c>
      <c r="T10" s="104">
        <v>0</v>
      </c>
      <c r="U10" s="105">
        <f t="shared" si="0"/>
        <v>0.92648980673245729</v>
      </c>
      <c r="V10" s="264">
        <f t="shared" si="1"/>
        <v>25.294238115299617</v>
      </c>
    </row>
    <row r="11" spans="1:27" ht="16" x14ac:dyDescent="0.2">
      <c r="A11" s="45" t="s">
        <v>475</v>
      </c>
      <c r="B11" s="102" t="s">
        <v>480</v>
      </c>
      <c r="C11" s="102">
        <v>23.05</v>
      </c>
      <c r="D11" s="103" t="s">
        <v>483</v>
      </c>
      <c r="E11" s="45"/>
      <c r="F11" s="104">
        <v>25555711.546</v>
      </c>
      <c r="G11" s="104">
        <v>1305380.943</v>
      </c>
      <c r="H11" s="104">
        <v>894920.92700000003</v>
      </c>
      <c r="I11" s="104">
        <v>1953747.6969999999</v>
      </c>
      <c r="J11" s="104">
        <v>0</v>
      </c>
      <c r="K11" s="104">
        <v>225792.304</v>
      </c>
      <c r="L11" s="104">
        <v>0</v>
      </c>
      <c r="M11" s="104">
        <v>118498.163</v>
      </c>
      <c r="N11" s="104">
        <v>0</v>
      </c>
      <c r="O11" s="104">
        <v>153851.81</v>
      </c>
      <c r="P11" s="104">
        <v>0</v>
      </c>
      <c r="Q11" s="104">
        <v>0</v>
      </c>
      <c r="R11" s="104">
        <v>0</v>
      </c>
      <c r="S11" s="104">
        <v>0</v>
      </c>
      <c r="T11" s="104">
        <v>0</v>
      </c>
      <c r="U11" s="105">
        <f t="shared" si="0"/>
        <v>0.918832831847189</v>
      </c>
      <c r="V11" s="264">
        <f t="shared" si="1"/>
        <v>24.894697165786322</v>
      </c>
    </row>
    <row r="12" spans="1:27" ht="16" x14ac:dyDescent="0.2">
      <c r="A12" s="45" t="s">
        <v>475</v>
      </c>
      <c r="B12" s="102" t="s">
        <v>481</v>
      </c>
      <c r="C12" s="102">
        <v>11.95</v>
      </c>
      <c r="D12" s="103" t="s">
        <v>483</v>
      </c>
      <c r="E12" s="45"/>
      <c r="F12" s="104">
        <v>31109549.129000001</v>
      </c>
      <c r="G12" s="104">
        <v>1873478.2220000001</v>
      </c>
      <c r="H12" s="104">
        <v>1256205.291</v>
      </c>
      <c r="I12" s="104">
        <v>1850197.8019999999</v>
      </c>
      <c r="J12" s="104">
        <v>0</v>
      </c>
      <c r="K12" s="104">
        <v>212265.08499999999</v>
      </c>
      <c r="L12" s="104">
        <v>0</v>
      </c>
      <c r="M12" s="104">
        <v>115180.35400000001</v>
      </c>
      <c r="N12" s="104">
        <v>0</v>
      </c>
      <c r="O12" s="104">
        <v>122583.736</v>
      </c>
      <c r="P12" s="104">
        <v>0</v>
      </c>
      <c r="Q12" s="104">
        <v>0</v>
      </c>
      <c r="R12" s="104">
        <v>0</v>
      </c>
      <c r="S12" s="104">
        <v>0</v>
      </c>
      <c r="T12" s="104">
        <v>0</v>
      </c>
      <c r="U12" s="105">
        <f t="shared" si="0"/>
        <v>0.93704813916284846</v>
      </c>
      <c r="V12" s="264">
        <f t="shared" si="1"/>
        <v>25.845171901517428</v>
      </c>
    </row>
    <row r="13" spans="1:27" ht="16" x14ac:dyDescent="0.2">
      <c r="A13" s="45" t="s">
        <v>475</v>
      </c>
      <c r="B13" s="102" t="s">
        <v>482</v>
      </c>
      <c r="C13" s="102">
        <v>4.6500000000000004</v>
      </c>
      <c r="D13" s="103" t="s">
        <v>483</v>
      </c>
      <c r="E13" s="45"/>
      <c r="F13" s="104">
        <v>12950005.787</v>
      </c>
      <c r="G13" s="104">
        <v>764691.84299999999</v>
      </c>
      <c r="H13" s="104">
        <v>494024.70199999999</v>
      </c>
      <c r="I13" s="104">
        <v>1102604.5519999999</v>
      </c>
      <c r="J13" s="104">
        <v>0</v>
      </c>
      <c r="K13" s="104">
        <v>100010.26</v>
      </c>
      <c r="L13" s="104">
        <v>0</v>
      </c>
      <c r="M13" s="104">
        <v>60247.86</v>
      </c>
      <c r="N13" s="104">
        <v>0</v>
      </c>
      <c r="O13" s="104">
        <v>107650.497</v>
      </c>
      <c r="P13" s="104">
        <v>19678.8</v>
      </c>
      <c r="Q13" s="104">
        <v>0</v>
      </c>
      <c r="R13" s="104">
        <v>0</v>
      </c>
      <c r="S13" s="104">
        <v>0</v>
      </c>
      <c r="T13" s="104">
        <v>0</v>
      </c>
      <c r="U13" s="105">
        <f t="shared" si="0"/>
        <v>0.91202949792292265</v>
      </c>
      <c r="V13" s="264">
        <f t="shared" si="1"/>
        <v>24.539699201618102</v>
      </c>
    </row>
    <row r="14" spans="1:27" ht="16" thickBot="1" x14ac:dyDescent="0.25">
      <c r="A14" s="45"/>
      <c r="B14" s="45"/>
      <c r="C14" s="45"/>
      <c r="D14" s="45"/>
      <c r="E14" s="45"/>
      <c r="F14" s="45"/>
      <c r="G14" s="45"/>
      <c r="H14" s="45"/>
      <c r="I14" s="45"/>
      <c r="J14" s="45"/>
      <c r="K14" s="45"/>
      <c r="L14" s="45"/>
      <c r="M14" s="45"/>
      <c r="N14" s="45"/>
      <c r="O14" s="45"/>
      <c r="P14" s="45"/>
      <c r="Q14" s="45"/>
      <c r="R14" s="45"/>
      <c r="S14" s="45"/>
      <c r="T14" s="45"/>
      <c r="U14" s="45"/>
      <c r="V14" s="45"/>
    </row>
    <row r="15" spans="1:27" x14ac:dyDescent="0.2">
      <c r="U15" s="269"/>
      <c r="V15" s="270" t="s">
        <v>666</v>
      </c>
      <c r="W15" s="271" t="s">
        <v>667</v>
      </c>
      <c r="X15" s="270" t="s">
        <v>672</v>
      </c>
      <c r="Y15" s="270" t="s">
        <v>189</v>
      </c>
      <c r="Z15" s="270" t="s">
        <v>673</v>
      </c>
      <c r="AA15" s="272" t="s">
        <v>668</v>
      </c>
    </row>
    <row r="16" spans="1:27" x14ac:dyDescent="0.2">
      <c r="U16" s="273" t="s">
        <v>602</v>
      </c>
      <c r="V16" s="274"/>
      <c r="W16" s="284"/>
      <c r="X16" s="284"/>
      <c r="Y16" s="284"/>
      <c r="Z16" s="284"/>
      <c r="AA16" s="285"/>
    </row>
    <row r="17" spans="21:27" x14ac:dyDescent="0.2">
      <c r="U17" s="273" t="s">
        <v>43</v>
      </c>
      <c r="V17" s="274"/>
      <c r="W17" s="284"/>
      <c r="X17" s="284"/>
      <c r="Y17" s="284"/>
      <c r="Z17" s="284"/>
      <c r="AA17" s="285"/>
    </row>
    <row r="18" spans="21:27" x14ac:dyDescent="0.2">
      <c r="U18" s="273" t="s">
        <v>186</v>
      </c>
      <c r="V18" s="274">
        <f>COUNT(V7:V13)</f>
        <v>7</v>
      </c>
      <c r="W18" s="284">
        <f>MIN(V7:V13)</f>
        <v>23.666182741087024</v>
      </c>
      <c r="X18" s="284">
        <f>Y18-(_xlfn.STDEV.P(V7:V13))</f>
        <v>23.88721116856572</v>
      </c>
      <c r="Y18" s="284">
        <f>AVERAGE(V7:V13)</f>
        <v>24.623823479197334</v>
      </c>
      <c r="Z18" s="284">
        <f>Y18+(_xlfn.STDEV.P(V7:V13))</f>
        <v>25.360435789828948</v>
      </c>
      <c r="AA18" s="285">
        <f>MAX(V7:V13)</f>
        <v>25.845171901517428</v>
      </c>
    </row>
    <row r="19" spans="21:27" x14ac:dyDescent="0.2">
      <c r="U19" s="273"/>
      <c r="V19" s="277"/>
      <c r="W19" s="284"/>
      <c r="X19" s="284"/>
      <c r="Y19" s="286"/>
      <c r="Z19" s="284"/>
      <c r="AA19" s="287"/>
    </row>
    <row r="20" spans="21:27" x14ac:dyDescent="0.2">
      <c r="U20" s="273"/>
      <c r="V20" s="277"/>
      <c r="W20" s="275"/>
      <c r="X20" s="279"/>
      <c r="Y20" s="279"/>
      <c r="Z20" s="279"/>
      <c r="AA20" s="278"/>
    </row>
    <row r="21" spans="21:27" x14ac:dyDescent="0.2">
      <c r="U21" s="273" t="s">
        <v>602</v>
      </c>
      <c r="V21" s="274"/>
      <c r="W21" s="275"/>
      <c r="X21" s="275"/>
      <c r="Y21" s="275"/>
      <c r="Z21" s="275"/>
      <c r="AA21" s="276"/>
    </row>
    <row r="22" spans="21:27" x14ac:dyDescent="0.2">
      <c r="U22" s="273" t="s">
        <v>43</v>
      </c>
      <c r="V22" s="274"/>
      <c r="W22" s="275"/>
      <c r="X22" s="275"/>
      <c r="Y22" s="275"/>
      <c r="Z22" s="275"/>
      <c r="AA22" s="276"/>
    </row>
    <row r="23" spans="21:27" ht="16" thickBot="1" x14ac:dyDescent="0.25">
      <c r="U23" s="280" t="s">
        <v>186</v>
      </c>
      <c r="V23" s="281">
        <f t="shared" ref="V23" si="2">V18</f>
        <v>7</v>
      </c>
      <c r="W23" s="282" t="str">
        <f>FIXED(W18,2)</f>
        <v>23.67</v>
      </c>
      <c r="X23" s="282" t="str">
        <f t="shared" ref="X23:AA23" si="3">FIXED(X18,2)</f>
        <v>23.89</v>
      </c>
      <c r="Y23" s="282" t="str">
        <f t="shared" si="3"/>
        <v>24.62</v>
      </c>
      <c r="Z23" s="282" t="str">
        <f t="shared" si="3"/>
        <v>25.36</v>
      </c>
      <c r="AA23" s="283" t="str">
        <f t="shared" si="3"/>
        <v>25.85</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56"/>
  <sheetViews>
    <sheetView topLeftCell="H1" workbookViewId="0">
      <selection activeCell="S14" sqref="S14"/>
    </sheetView>
  </sheetViews>
  <sheetFormatPr baseColWidth="10" defaultColWidth="8.83203125" defaultRowHeight="15" x14ac:dyDescent="0.2"/>
  <cols>
    <col min="1" max="1" width="32.6640625" customWidth="1"/>
    <col min="2" max="2" width="18.5" customWidth="1"/>
    <col min="3" max="3" width="22.5" customWidth="1"/>
    <col min="4" max="4" width="10.5" customWidth="1"/>
    <col min="18" max="18" width="24.33203125" customWidth="1"/>
    <col min="19" max="19" width="23.33203125" customWidth="1"/>
    <col min="20" max="20" width="24.1640625" customWidth="1"/>
  </cols>
  <sheetData>
    <row r="1" spans="1:21" ht="51" x14ac:dyDescent="0.2">
      <c r="A1" s="7" t="s">
        <v>45</v>
      </c>
      <c r="B1" s="25" t="s">
        <v>47</v>
      </c>
      <c r="C1" s="7" t="s">
        <v>0</v>
      </c>
      <c r="D1" s="10" t="s">
        <v>185</v>
      </c>
      <c r="E1" s="27" t="s">
        <v>192</v>
      </c>
      <c r="F1" s="9" t="s">
        <v>193</v>
      </c>
      <c r="G1" s="28" t="s">
        <v>197</v>
      </c>
      <c r="H1" s="646" t="s">
        <v>157</v>
      </c>
      <c r="I1" s="646"/>
      <c r="J1" s="647" t="s">
        <v>158</v>
      </c>
      <c r="K1" s="647"/>
      <c r="L1" s="118" t="s">
        <v>159</v>
      </c>
      <c r="M1" s="648" t="s">
        <v>526</v>
      </c>
      <c r="N1" s="649"/>
      <c r="O1" s="649"/>
      <c r="P1" s="29" t="s">
        <v>68</v>
      </c>
      <c r="Q1" s="8" t="s">
        <v>44</v>
      </c>
      <c r="R1" s="30" t="s">
        <v>151</v>
      </c>
      <c r="S1" s="31" t="s">
        <v>1</v>
      </c>
      <c r="T1" s="10" t="s">
        <v>194</v>
      </c>
      <c r="U1" s="10" t="s">
        <v>93</v>
      </c>
    </row>
    <row r="2" spans="1:21" ht="17" thickBot="1" x14ac:dyDescent="0.25">
      <c r="A2" s="15"/>
      <c r="B2" s="26"/>
      <c r="C2" s="15"/>
      <c r="D2" s="19"/>
      <c r="E2" s="21"/>
      <c r="F2" s="16"/>
      <c r="G2" s="22"/>
      <c r="H2" s="17" t="s">
        <v>160</v>
      </c>
      <c r="I2" s="17" t="s">
        <v>161</v>
      </c>
      <c r="J2" s="18" t="s">
        <v>160</v>
      </c>
      <c r="K2" s="18" t="s">
        <v>161</v>
      </c>
      <c r="L2" s="18" t="s">
        <v>160</v>
      </c>
      <c r="M2" s="23" t="s">
        <v>190</v>
      </c>
      <c r="N2" s="16" t="s">
        <v>189</v>
      </c>
      <c r="O2" s="16" t="s">
        <v>191</v>
      </c>
    </row>
    <row r="4" spans="1:21" x14ac:dyDescent="0.2">
      <c r="A4" s="119" t="s">
        <v>9</v>
      </c>
      <c r="B4" s="120" t="s">
        <v>60</v>
      </c>
      <c r="C4" s="119" t="s">
        <v>2</v>
      </c>
      <c r="D4" s="119"/>
      <c r="E4" s="121">
        <v>48.7</v>
      </c>
      <c r="F4" s="121">
        <v>-122.5</v>
      </c>
      <c r="G4" s="121">
        <v>50.490699999999997</v>
      </c>
      <c r="H4" s="122">
        <v>54.531290347599999</v>
      </c>
      <c r="I4" s="122">
        <v>-109.102687343</v>
      </c>
      <c r="J4" s="123">
        <v>54.255035808700001</v>
      </c>
      <c r="K4" s="122">
        <v>-89.913254991200006</v>
      </c>
      <c r="L4" s="121">
        <f t="shared" ref="L4" si="0">J4-H4</f>
        <v>-0.27625453889999818</v>
      </c>
      <c r="M4" s="121">
        <v>0.5</v>
      </c>
      <c r="N4" s="121">
        <v>15.5</v>
      </c>
      <c r="O4" s="121">
        <v>0.5</v>
      </c>
      <c r="P4" s="124" t="s">
        <v>108</v>
      </c>
      <c r="Q4" s="120"/>
      <c r="R4" s="125" t="s">
        <v>155</v>
      </c>
      <c r="S4" s="119" t="s">
        <v>4</v>
      </c>
      <c r="T4" s="119" t="s">
        <v>4</v>
      </c>
    </row>
    <row r="5" spans="1:21" x14ac:dyDescent="0.2">
      <c r="A5" s="45"/>
      <c r="B5" s="11"/>
      <c r="C5" s="45"/>
      <c r="D5" s="45"/>
      <c r="E5" s="47"/>
      <c r="F5" s="47"/>
      <c r="G5" s="126"/>
      <c r="H5" s="13"/>
      <c r="I5" s="13"/>
      <c r="J5" s="127"/>
      <c r="K5" s="13"/>
      <c r="L5" s="13"/>
      <c r="M5" s="12"/>
      <c r="N5" s="128"/>
      <c r="O5" s="128"/>
      <c r="P5" s="56"/>
      <c r="Q5" s="11"/>
      <c r="R5" s="45"/>
      <c r="S5" s="45"/>
      <c r="T5" s="128"/>
    </row>
    <row r="6" spans="1:21" x14ac:dyDescent="0.2">
      <c r="A6" s="45" t="s">
        <v>554</v>
      </c>
      <c r="B6" s="129" t="s">
        <v>60</v>
      </c>
      <c r="C6" s="45" t="s">
        <v>555</v>
      </c>
      <c r="D6" s="45" t="s">
        <v>187</v>
      </c>
      <c r="E6" s="140">
        <v>48.7</v>
      </c>
      <c r="F6" s="140">
        <v>-122.5</v>
      </c>
      <c r="G6" s="141">
        <v>50.490699999999997</v>
      </c>
      <c r="H6" s="142">
        <v>54.531290347599999</v>
      </c>
      <c r="I6" s="142">
        <v>-109.102687343</v>
      </c>
      <c r="J6" s="143">
        <v>54.255035808700001</v>
      </c>
      <c r="K6" s="142">
        <v>-89.913254991200006</v>
      </c>
      <c r="L6" s="142">
        <v>-0.27625453889999818</v>
      </c>
      <c r="M6" s="288">
        <v>2.1</v>
      </c>
      <c r="N6" s="289">
        <v>14.5</v>
      </c>
      <c r="O6" s="289">
        <v>2.1</v>
      </c>
      <c r="P6" s="56" t="s">
        <v>566</v>
      </c>
      <c r="Q6" s="11"/>
      <c r="R6" s="128" t="s">
        <v>567</v>
      </c>
      <c r="S6" s="45" t="s">
        <v>558</v>
      </c>
      <c r="T6" s="128" t="s">
        <v>568</v>
      </c>
    </row>
    <row r="7" spans="1:21" x14ac:dyDescent="0.2">
      <c r="A7" s="45" t="s">
        <v>569</v>
      </c>
      <c r="B7" s="129" t="s">
        <v>60</v>
      </c>
      <c r="C7" s="45" t="s">
        <v>555</v>
      </c>
      <c r="D7" s="45" t="s">
        <v>187</v>
      </c>
      <c r="E7" s="140">
        <v>48.7</v>
      </c>
      <c r="F7" s="140">
        <v>-122.5</v>
      </c>
      <c r="G7" s="141">
        <v>50.490699999999997</v>
      </c>
      <c r="H7" s="142">
        <v>54.531290347599999</v>
      </c>
      <c r="I7" s="142">
        <v>-109.102687343</v>
      </c>
      <c r="J7" s="143">
        <v>54.255035808700001</v>
      </c>
      <c r="K7" s="142">
        <v>-89.913254991200006</v>
      </c>
      <c r="L7" s="142">
        <v>-0.27625453889999818</v>
      </c>
      <c r="M7" s="288">
        <v>2.1</v>
      </c>
      <c r="N7" s="289">
        <v>13</v>
      </c>
      <c r="O7" s="290">
        <v>2.1</v>
      </c>
      <c r="P7" s="56" t="s">
        <v>566</v>
      </c>
      <c r="Q7" s="11"/>
      <c r="R7" s="128" t="s">
        <v>567</v>
      </c>
      <c r="S7" s="45" t="s">
        <v>558</v>
      </c>
      <c r="T7" s="128" t="s">
        <v>568</v>
      </c>
    </row>
    <row r="8" spans="1:21" x14ac:dyDescent="0.2">
      <c r="A8" s="45" t="s">
        <v>570</v>
      </c>
      <c r="B8" s="129" t="s">
        <v>60</v>
      </c>
      <c r="C8" s="45" t="s">
        <v>75</v>
      </c>
      <c r="D8" s="45" t="s">
        <v>187</v>
      </c>
      <c r="E8" s="147">
        <v>48.7</v>
      </c>
      <c r="F8" s="147">
        <v>-122.5</v>
      </c>
      <c r="G8" s="148">
        <v>50.490699999999997</v>
      </c>
      <c r="H8" s="151">
        <v>54.531290347599999</v>
      </c>
      <c r="I8" s="151">
        <v>-109.102687343</v>
      </c>
      <c r="J8" s="152">
        <v>54.255035808700001</v>
      </c>
      <c r="K8" s="151">
        <v>-89.913254991200006</v>
      </c>
      <c r="L8" s="151">
        <v>-0.27625453889999818</v>
      </c>
      <c r="M8" s="291">
        <v>2.1</v>
      </c>
      <c r="N8" s="289">
        <v>17.7</v>
      </c>
      <c r="O8" s="292">
        <v>2.1</v>
      </c>
      <c r="P8" s="20" t="s">
        <v>566</v>
      </c>
      <c r="Q8" s="5"/>
      <c r="R8" s="128" t="s">
        <v>567</v>
      </c>
      <c r="S8" t="s">
        <v>558</v>
      </c>
      <c r="T8" s="128" t="s">
        <v>568</v>
      </c>
    </row>
    <row r="9" spans="1:21" x14ac:dyDescent="0.2">
      <c r="A9" t="s">
        <v>571</v>
      </c>
      <c r="B9" s="129" t="s">
        <v>60</v>
      </c>
      <c r="C9" s="45" t="s">
        <v>572</v>
      </c>
      <c r="D9" s="45" t="s">
        <v>187</v>
      </c>
      <c r="E9" s="147">
        <v>48.7</v>
      </c>
      <c r="F9" s="147">
        <v>-122.5</v>
      </c>
      <c r="G9" s="148">
        <v>50.490699999999997</v>
      </c>
      <c r="H9" s="149">
        <v>54.531290347599999</v>
      </c>
      <c r="I9" s="149">
        <v>-109.102687343</v>
      </c>
      <c r="J9" s="150">
        <v>54.255035808700001</v>
      </c>
      <c r="K9" s="149">
        <v>-89.913254991200006</v>
      </c>
      <c r="L9" s="149">
        <v>-0.27625453889999818</v>
      </c>
      <c r="M9" s="293">
        <v>2.1</v>
      </c>
      <c r="N9" s="289">
        <v>16</v>
      </c>
      <c r="O9" s="292">
        <v>2.1</v>
      </c>
      <c r="P9" s="20" t="s">
        <v>566</v>
      </c>
      <c r="Q9" s="5"/>
      <c r="R9" s="128" t="s">
        <v>567</v>
      </c>
      <c r="S9" t="s">
        <v>558</v>
      </c>
      <c r="T9" s="128" t="s">
        <v>568</v>
      </c>
    </row>
    <row r="10" spans="1:21" x14ac:dyDescent="0.2">
      <c r="A10" t="s">
        <v>573</v>
      </c>
      <c r="B10" s="129" t="s">
        <v>60</v>
      </c>
      <c r="C10" s="45" t="s">
        <v>75</v>
      </c>
      <c r="D10" s="45" t="s">
        <v>187</v>
      </c>
      <c r="E10" s="147">
        <v>48.7</v>
      </c>
      <c r="F10" s="147">
        <v>-122.5</v>
      </c>
      <c r="G10" s="148">
        <v>50.490699999999997</v>
      </c>
      <c r="H10" s="151">
        <v>54.531290347599999</v>
      </c>
      <c r="I10" s="151">
        <v>-109.102687343</v>
      </c>
      <c r="J10" s="152">
        <v>54.255035808700001</v>
      </c>
      <c r="K10" s="151">
        <v>-89.913254991200006</v>
      </c>
      <c r="L10" s="151">
        <v>-0.27625453889999818</v>
      </c>
      <c r="M10" s="291">
        <v>2.1</v>
      </c>
      <c r="N10" s="289">
        <v>15.3</v>
      </c>
      <c r="O10" s="292">
        <v>2.1</v>
      </c>
      <c r="P10" s="20" t="s">
        <v>566</v>
      </c>
      <c r="Q10" s="5"/>
      <c r="R10" s="128" t="s">
        <v>567</v>
      </c>
      <c r="S10" t="s">
        <v>558</v>
      </c>
      <c r="T10" s="128" t="s">
        <v>568</v>
      </c>
    </row>
    <row r="11" spans="1:21" x14ac:dyDescent="0.2">
      <c r="A11" t="s">
        <v>574</v>
      </c>
      <c r="B11" s="129" t="s">
        <v>60</v>
      </c>
      <c r="C11" s="45" t="s">
        <v>75</v>
      </c>
      <c r="D11" s="45" t="s">
        <v>187</v>
      </c>
      <c r="E11" s="147">
        <v>48.7</v>
      </c>
      <c r="F11" s="147">
        <v>-122.5</v>
      </c>
      <c r="G11" s="148">
        <v>50.490699999999997</v>
      </c>
      <c r="H11" s="151">
        <v>54.531290347599999</v>
      </c>
      <c r="I11" s="151">
        <v>-109.102687343</v>
      </c>
      <c r="J11" s="152">
        <v>54.255035808700001</v>
      </c>
      <c r="K11" s="151">
        <v>-89.913254991200006</v>
      </c>
      <c r="L11" s="151">
        <v>-0.27625453889999818</v>
      </c>
      <c r="M11" s="291">
        <v>2.1</v>
      </c>
      <c r="N11" s="289">
        <v>17.100000000000001</v>
      </c>
      <c r="O11" s="292">
        <v>2.1</v>
      </c>
      <c r="P11" s="20" t="s">
        <v>566</v>
      </c>
      <c r="Q11" s="5"/>
      <c r="R11" s="128" t="s">
        <v>567</v>
      </c>
      <c r="S11" t="s">
        <v>558</v>
      </c>
      <c r="T11" s="128" t="s">
        <v>568</v>
      </c>
    </row>
    <row r="12" spans="1:21" x14ac:dyDescent="0.2">
      <c r="B12" s="129"/>
      <c r="C12" s="45"/>
      <c r="D12" s="45"/>
      <c r="E12" s="147"/>
      <c r="F12" s="147"/>
      <c r="G12" s="148"/>
      <c r="H12" s="151"/>
      <c r="I12" s="151"/>
      <c r="J12" s="152"/>
      <c r="K12" s="151"/>
      <c r="L12" s="158" t="s">
        <v>581</v>
      </c>
      <c r="M12" s="159">
        <f>AVERAGE(M6:M11)</f>
        <v>2.1</v>
      </c>
      <c r="N12" s="159">
        <f t="shared" ref="N12:O12" si="1">AVERAGE(N6:N11)</f>
        <v>15.6</v>
      </c>
      <c r="O12" s="159">
        <f t="shared" si="1"/>
        <v>2.1</v>
      </c>
      <c r="P12" s="160" t="s">
        <v>566</v>
      </c>
      <c r="Q12" s="161"/>
      <c r="R12" s="162" t="s">
        <v>567</v>
      </c>
      <c r="S12" s="163" t="s">
        <v>558</v>
      </c>
      <c r="T12" s="162" t="s">
        <v>568</v>
      </c>
      <c r="U12" s="163"/>
    </row>
    <row r="13" spans="1:21" x14ac:dyDescent="0.2">
      <c r="B13" s="129"/>
      <c r="C13" s="45"/>
      <c r="D13" s="45"/>
      <c r="E13" s="147"/>
      <c r="F13" s="147"/>
      <c r="G13" s="148"/>
      <c r="H13" s="151"/>
      <c r="I13" s="151"/>
      <c r="J13" s="152"/>
      <c r="K13" s="151"/>
      <c r="L13" s="151"/>
      <c r="M13" s="2"/>
      <c r="N13" s="14"/>
      <c r="O13" s="6"/>
      <c r="P13" s="20"/>
      <c r="Q13" s="5"/>
      <c r="R13" s="128"/>
      <c r="T13" s="128"/>
    </row>
    <row r="14" spans="1:21" x14ac:dyDescent="0.2">
      <c r="A14" s="45" t="s">
        <v>554</v>
      </c>
      <c r="B14" s="129" t="s">
        <v>60</v>
      </c>
      <c r="C14" s="45" t="s">
        <v>555</v>
      </c>
      <c r="D14" s="45" t="s">
        <v>187</v>
      </c>
      <c r="E14" s="140">
        <v>48.7</v>
      </c>
      <c r="F14" s="140">
        <v>-122.5</v>
      </c>
      <c r="G14" s="141">
        <v>50.490699999999997</v>
      </c>
      <c r="H14" s="142">
        <v>54.531290347599999</v>
      </c>
      <c r="I14" s="142">
        <v>-109.102687343</v>
      </c>
      <c r="J14" s="143">
        <v>54.255035808700001</v>
      </c>
      <c r="K14" s="142">
        <v>-89.913254991200006</v>
      </c>
      <c r="L14" s="142">
        <v>-0.27625453889999818</v>
      </c>
      <c r="M14" s="288">
        <v>3.33</v>
      </c>
      <c r="N14" s="289">
        <v>15.7</v>
      </c>
      <c r="O14" s="289">
        <v>3.33</v>
      </c>
      <c r="P14" s="56" t="s">
        <v>556</v>
      </c>
      <c r="Q14" s="11"/>
      <c r="R14" s="45" t="s">
        <v>557</v>
      </c>
      <c r="S14" s="45" t="s">
        <v>558</v>
      </c>
      <c r="T14" s="128" t="s">
        <v>559</v>
      </c>
    </row>
    <row r="15" spans="1:21" x14ac:dyDescent="0.2">
      <c r="A15" s="45" t="s">
        <v>569</v>
      </c>
      <c r="B15" s="129" t="s">
        <v>60</v>
      </c>
      <c r="C15" s="45" t="s">
        <v>555</v>
      </c>
      <c r="D15" s="45" t="s">
        <v>187</v>
      </c>
      <c r="E15" s="140">
        <v>48.7</v>
      </c>
      <c r="F15" s="140">
        <v>-122.5</v>
      </c>
      <c r="G15" s="141">
        <v>50.490699999999997</v>
      </c>
      <c r="H15" s="144">
        <v>54.531290347599999</v>
      </c>
      <c r="I15" s="144">
        <v>-109.102687343</v>
      </c>
      <c r="J15" s="143">
        <v>54.255035808700001</v>
      </c>
      <c r="K15" s="144">
        <v>-89.913254991200006</v>
      </c>
      <c r="L15" s="144">
        <v>-0.27625453889999818</v>
      </c>
      <c r="M15" s="288">
        <v>2.74</v>
      </c>
      <c r="N15" s="289">
        <v>13.4</v>
      </c>
      <c r="O15" s="289">
        <v>2.74</v>
      </c>
      <c r="P15" s="56" t="s">
        <v>556</v>
      </c>
      <c r="Q15" s="11"/>
      <c r="R15" s="45" t="s">
        <v>557</v>
      </c>
      <c r="S15" s="45" t="s">
        <v>558</v>
      </c>
      <c r="T15" s="128" t="s">
        <v>559</v>
      </c>
    </row>
    <row r="16" spans="1:21" x14ac:dyDescent="0.2">
      <c r="A16" s="45" t="s">
        <v>570</v>
      </c>
      <c r="B16" s="129" t="s">
        <v>60</v>
      </c>
      <c r="C16" s="45" t="s">
        <v>75</v>
      </c>
      <c r="D16" s="45" t="s">
        <v>187</v>
      </c>
      <c r="E16" s="140">
        <v>48.7</v>
      </c>
      <c r="F16" s="140">
        <v>-122.5</v>
      </c>
      <c r="G16" s="141">
        <v>50.490699999999997</v>
      </c>
      <c r="H16" s="142">
        <v>54.531290347599999</v>
      </c>
      <c r="I16" s="142">
        <v>-109.102687343</v>
      </c>
      <c r="J16" s="143">
        <v>54.255035808700001</v>
      </c>
      <c r="K16" s="142">
        <v>-89.913254991200006</v>
      </c>
      <c r="L16" s="142">
        <v>-0.27625453889999818</v>
      </c>
      <c r="M16" s="288">
        <v>2.91</v>
      </c>
      <c r="N16" s="289">
        <v>23.39</v>
      </c>
      <c r="O16" s="289">
        <v>2.91</v>
      </c>
      <c r="P16" s="56" t="s">
        <v>556</v>
      </c>
      <c r="Q16" s="11"/>
      <c r="R16" s="45" t="s">
        <v>557</v>
      </c>
      <c r="S16" s="45" t="s">
        <v>558</v>
      </c>
      <c r="T16" s="128" t="s">
        <v>559</v>
      </c>
    </row>
    <row r="17" spans="1:20" x14ac:dyDescent="0.2">
      <c r="A17" t="s">
        <v>571</v>
      </c>
      <c r="B17" s="129" t="s">
        <v>60</v>
      </c>
      <c r="C17" s="45" t="s">
        <v>572</v>
      </c>
      <c r="D17" s="45" t="s">
        <v>187</v>
      </c>
      <c r="E17" s="147">
        <v>48.7</v>
      </c>
      <c r="F17" s="147">
        <v>-122.5</v>
      </c>
      <c r="G17" s="148">
        <v>50.490699999999997</v>
      </c>
      <c r="H17" s="151">
        <v>54.531290347599999</v>
      </c>
      <c r="I17" s="151">
        <v>-109.102687343</v>
      </c>
      <c r="J17" s="152">
        <v>54.255035808700001</v>
      </c>
      <c r="K17" s="151">
        <v>-89.913254991200006</v>
      </c>
      <c r="L17" s="151">
        <v>-0.27625453889999818</v>
      </c>
      <c r="M17" s="291">
        <v>2.57</v>
      </c>
      <c r="N17" s="289">
        <v>21.86</v>
      </c>
      <c r="O17" s="289">
        <v>2.57</v>
      </c>
      <c r="P17" s="56" t="s">
        <v>556</v>
      </c>
      <c r="Q17" s="5"/>
      <c r="R17" s="45" t="s">
        <v>557</v>
      </c>
      <c r="S17" t="s">
        <v>558</v>
      </c>
      <c r="T17" s="128" t="s">
        <v>559</v>
      </c>
    </row>
    <row r="18" spans="1:20" x14ac:dyDescent="0.2">
      <c r="A18" t="s">
        <v>573</v>
      </c>
      <c r="B18" s="129" t="s">
        <v>60</v>
      </c>
      <c r="C18" s="45" t="s">
        <v>75</v>
      </c>
      <c r="D18" s="45" t="s">
        <v>187</v>
      </c>
      <c r="E18" s="147">
        <v>48.7</v>
      </c>
      <c r="F18" s="147">
        <v>-122.5</v>
      </c>
      <c r="G18" s="148">
        <v>50.490699999999997</v>
      </c>
      <c r="H18" s="151">
        <v>54.531290347599999</v>
      </c>
      <c r="I18" s="151">
        <v>-109.102687343</v>
      </c>
      <c r="J18" s="152">
        <v>54.255035808700001</v>
      </c>
      <c r="K18" s="151">
        <v>-89.913254991200006</v>
      </c>
      <c r="L18" s="151">
        <v>-0.27625453889999818</v>
      </c>
      <c r="M18" s="291">
        <v>3.11</v>
      </c>
      <c r="N18" s="289">
        <v>19.8</v>
      </c>
      <c r="O18" s="289">
        <v>3.11</v>
      </c>
      <c r="P18" s="56" t="s">
        <v>556</v>
      </c>
      <c r="Q18" s="5"/>
      <c r="R18" s="45" t="s">
        <v>557</v>
      </c>
      <c r="S18" t="s">
        <v>558</v>
      </c>
      <c r="T18" s="128" t="s">
        <v>559</v>
      </c>
    </row>
    <row r="19" spans="1:20" x14ac:dyDescent="0.2">
      <c r="A19" t="s">
        <v>574</v>
      </c>
      <c r="B19" s="129" t="s">
        <v>60</v>
      </c>
      <c r="C19" s="45" t="s">
        <v>75</v>
      </c>
      <c r="D19" s="45" t="s">
        <v>187</v>
      </c>
      <c r="E19" s="147">
        <v>48.7</v>
      </c>
      <c r="F19" s="147">
        <v>-122.5</v>
      </c>
      <c r="G19" s="148">
        <v>50.490699999999997</v>
      </c>
      <c r="H19" s="151">
        <v>54.531290347599999</v>
      </c>
      <c r="I19" s="151">
        <v>-109.102687343</v>
      </c>
      <c r="J19" s="152">
        <v>54.255035808700001</v>
      </c>
      <c r="K19" s="151">
        <v>-89.913254991200006</v>
      </c>
      <c r="L19" s="151">
        <v>-0.27625453889999818</v>
      </c>
      <c r="M19" s="291">
        <v>2.56</v>
      </c>
      <c r="N19" s="289">
        <v>20.6</v>
      </c>
      <c r="O19" s="289">
        <v>2.56</v>
      </c>
      <c r="P19" s="56" t="s">
        <v>556</v>
      </c>
      <c r="Q19" s="5"/>
      <c r="R19" s="45" t="s">
        <v>557</v>
      </c>
      <c r="S19" t="s">
        <v>558</v>
      </c>
      <c r="T19" s="128" t="s">
        <v>559</v>
      </c>
    </row>
    <row r="20" spans="1:20" x14ac:dyDescent="0.2">
      <c r="B20" s="129"/>
      <c r="C20" s="45"/>
      <c r="D20" s="45"/>
      <c r="E20" s="147"/>
      <c r="F20" s="147"/>
      <c r="G20" s="148"/>
      <c r="H20" s="151"/>
      <c r="I20" s="151"/>
      <c r="J20" s="152"/>
      <c r="K20" s="151"/>
      <c r="L20" s="158" t="s">
        <v>581</v>
      </c>
      <c r="M20" s="159">
        <f>AVERAGE(M14:M19)</f>
        <v>2.8699999999999997</v>
      </c>
      <c r="N20" s="159">
        <f t="shared" ref="N20" si="2">AVERAGE(N14:N19)</f>
        <v>19.125</v>
      </c>
      <c r="O20" s="159">
        <f t="shared" ref="O20" si="3">AVERAGE(O14:O19)</f>
        <v>2.8699999999999997</v>
      </c>
      <c r="P20" s="164" t="s">
        <v>556</v>
      </c>
      <c r="Q20" s="161"/>
      <c r="R20" s="165" t="s">
        <v>557</v>
      </c>
      <c r="S20" s="163" t="s">
        <v>558</v>
      </c>
      <c r="T20" s="162" t="s">
        <v>559</v>
      </c>
    </row>
    <row r="21" spans="1:20" x14ac:dyDescent="0.2">
      <c r="B21" s="129"/>
      <c r="C21" s="45"/>
      <c r="D21" s="45"/>
      <c r="E21" s="147"/>
      <c r="F21" s="147"/>
      <c r="G21" s="148"/>
      <c r="H21" s="151"/>
      <c r="I21" s="151"/>
      <c r="J21" s="152"/>
      <c r="K21" s="151"/>
      <c r="L21" s="151"/>
      <c r="M21" s="2"/>
      <c r="N21" s="14"/>
      <c r="O21" s="14"/>
      <c r="P21" s="56"/>
      <c r="Q21" s="5"/>
      <c r="R21" s="45"/>
      <c r="T21" s="128"/>
    </row>
    <row r="22" spans="1:20" x14ac:dyDescent="0.2">
      <c r="A22" s="45" t="s">
        <v>554</v>
      </c>
      <c r="B22" s="129" t="s">
        <v>60</v>
      </c>
      <c r="C22" s="45" t="s">
        <v>555</v>
      </c>
      <c r="D22" s="45" t="s">
        <v>187</v>
      </c>
      <c r="E22" s="140">
        <v>48.7</v>
      </c>
      <c r="F22" s="140">
        <v>-122.5</v>
      </c>
      <c r="G22" s="141">
        <v>50.490699999999997</v>
      </c>
      <c r="H22" s="142">
        <v>54.531290347599999</v>
      </c>
      <c r="I22" s="142">
        <v>-109.102687343</v>
      </c>
      <c r="J22" s="143">
        <v>54.255035808700001</v>
      </c>
      <c r="K22" s="142">
        <v>-89.913254991200006</v>
      </c>
      <c r="L22" s="142">
        <v>-0.27625453889999818</v>
      </c>
      <c r="M22" s="288">
        <v>2.66</v>
      </c>
      <c r="N22" s="289">
        <v>14.9</v>
      </c>
      <c r="O22" s="289">
        <v>2.66</v>
      </c>
      <c r="P22" s="56" t="s">
        <v>560</v>
      </c>
      <c r="Q22" s="11"/>
      <c r="R22" s="45" t="s">
        <v>561</v>
      </c>
      <c r="S22" s="45" t="s">
        <v>558</v>
      </c>
      <c r="T22" s="128" t="s">
        <v>559</v>
      </c>
    </row>
    <row r="23" spans="1:20" x14ac:dyDescent="0.2">
      <c r="A23" s="45" t="s">
        <v>569</v>
      </c>
      <c r="B23" s="129" t="s">
        <v>60</v>
      </c>
      <c r="C23" s="45" t="s">
        <v>555</v>
      </c>
      <c r="D23" s="45" t="s">
        <v>187</v>
      </c>
      <c r="E23" s="140">
        <v>48.7</v>
      </c>
      <c r="F23" s="140">
        <v>-122.5</v>
      </c>
      <c r="G23" s="141">
        <v>50.490699999999997</v>
      </c>
      <c r="H23" s="144">
        <v>54.531290347599999</v>
      </c>
      <c r="I23" s="144">
        <v>-109.102687343</v>
      </c>
      <c r="J23" s="143">
        <v>54.255035808700001</v>
      </c>
      <c r="K23" s="144">
        <v>-89.913254991200006</v>
      </c>
      <c r="L23" s="144">
        <v>-0.27625453889999818</v>
      </c>
      <c r="M23" s="288">
        <v>2.1800000000000002</v>
      </c>
      <c r="N23" s="289">
        <v>13.01</v>
      </c>
      <c r="O23" s="289">
        <v>2.1800000000000002</v>
      </c>
      <c r="P23" s="56" t="s">
        <v>560</v>
      </c>
      <c r="Q23" s="11"/>
      <c r="R23" s="45" t="s">
        <v>561</v>
      </c>
      <c r="S23" s="45" t="s">
        <v>558</v>
      </c>
      <c r="T23" s="128" t="s">
        <v>559</v>
      </c>
    </row>
    <row r="24" spans="1:20" x14ac:dyDescent="0.2">
      <c r="A24" s="45" t="s">
        <v>570</v>
      </c>
      <c r="B24" s="129" t="s">
        <v>60</v>
      </c>
      <c r="C24" s="45" t="s">
        <v>75</v>
      </c>
      <c r="D24" s="45" t="s">
        <v>187</v>
      </c>
      <c r="E24" s="140">
        <v>48.7</v>
      </c>
      <c r="F24" s="140">
        <v>-122.5</v>
      </c>
      <c r="G24" s="141">
        <v>50.490699999999997</v>
      </c>
      <c r="H24" s="145">
        <v>54.531290347599999</v>
      </c>
      <c r="I24" s="145">
        <v>-109.102687343</v>
      </c>
      <c r="J24" s="146">
        <v>54.255035808700001</v>
      </c>
      <c r="K24" s="145">
        <v>-89.913254991200006</v>
      </c>
      <c r="L24" s="145">
        <v>-0.27625453889999818</v>
      </c>
      <c r="M24" s="294">
        <v>2.3199999999999998</v>
      </c>
      <c r="N24" s="289">
        <v>21</v>
      </c>
      <c r="O24" s="289">
        <v>2.3199999999999998</v>
      </c>
      <c r="P24" s="56" t="s">
        <v>560</v>
      </c>
      <c r="Q24" s="11"/>
      <c r="R24" s="45" t="s">
        <v>561</v>
      </c>
      <c r="S24" s="45" t="s">
        <v>558</v>
      </c>
      <c r="T24" s="128" t="s">
        <v>559</v>
      </c>
    </row>
    <row r="25" spans="1:20" x14ac:dyDescent="0.2">
      <c r="A25" t="s">
        <v>571</v>
      </c>
      <c r="B25" s="129" t="s">
        <v>60</v>
      </c>
      <c r="C25" s="45" t="s">
        <v>572</v>
      </c>
      <c r="D25" s="45" t="s">
        <v>187</v>
      </c>
      <c r="E25" s="147">
        <v>48.7</v>
      </c>
      <c r="F25" s="147">
        <v>-122.5</v>
      </c>
      <c r="G25" s="148">
        <v>50.490699999999997</v>
      </c>
      <c r="H25" s="151">
        <v>54.531290347599999</v>
      </c>
      <c r="I25" s="151">
        <v>-109.102687343</v>
      </c>
      <c r="J25" s="152">
        <v>54.255035808700001</v>
      </c>
      <c r="K25" s="151">
        <v>-89.913254991200006</v>
      </c>
      <c r="L25" s="151">
        <v>-0.27625453889999818</v>
      </c>
      <c r="M25" s="291">
        <v>2.0499999999999998</v>
      </c>
      <c r="N25" s="289">
        <v>19.77</v>
      </c>
      <c r="O25" s="289">
        <v>2.0499999999999998</v>
      </c>
      <c r="P25" s="56" t="s">
        <v>560</v>
      </c>
      <c r="Q25" s="5"/>
      <c r="R25" s="45" t="s">
        <v>561</v>
      </c>
      <c r="S25" t="s">
        <v>558</v>
      </c>
      <c r="T25" s="128" t="s">
        <v>559</v>
      </c>
    </row>
    <row r="26" spans="1:20" x14ac:dyDescent="0.2">
      <c r="A26" t="s">
        <v>573</v>
      </c>
      <c r="B26" s="129" t="s">
        <v>60</v>
      </c>
      <c r="C26" s="45" t="s">
        <v>75</v>
      </c>
      <c r="D26" s="45" t="s">
        <v>187</v>
      </c>
      <c r="E26" s="147">
        <v>48.7</v>
      </c>
      <c r="F26" s="147">
        <v>-122.5</v>
      </c>
      <c r="G26" s="148">
        <v>50.490699999999997</v>
      </c>
      <c r="H26" s="151">
        <v>54.531290347599999</v>
      </c>
      <c r="I26" s="151">
        <v>-109.102687343</v>
      </c>
      <c r="J26" s="152">
        <v>54.255035808700001</v>
      </c>
      <c r="K26" s="151">
        <v>-89.913254991200006</v>
      </c>
      <c r="L26" s="151">
        <v>-0.27625453889999818</v>
      </c>
      <c r="M26" s="291">
        <v>2.48</v>
      </c>
      <c r="N26" s="289">
        <v>18.100000000000001</v>
      </c>
      <c r="O26" s="289">
        <v>2.48</v>
      </c>
      <c r="P26" s="56" t="s">
        <v>560</v>
      </c>
      <c r="Q26" s="5"/>
      <c r="R26" s="45" t="s">
        <v>561</v>
      </c>
      <c r="S26" t="s">
        <v>558</v>
      </c>
      <c r="T26" s="128" t="s">
        <v>559</v>
      </c>
    </row>
    <row r="27" spans="1:20" x14ac:dyDescent="0.2">
      <c r="A27" t="s">
        <v>574</v>
      </c>
      <c r="B27" s="129" t="s">
        <v>60</v>
      </c>
      <c r="C27" s="45" t="s">
        <v>75</v>
      </c>
      <c r="D27" s="45" t="s">
        <v>187</v>
      </c>
      <c r="E27" s="147">
        <v>48.7</v>
      </c>
      <c r="F27" s="147">
        <v>-122.5</v>
      </c>
      <c r="G27" s="148">
        <v>50.490699999999997</v>
      </c>
      <c r="H27" s="151">
        <v>54.531290347599999</v>
      </c>
      <c r="I27" s="151">
        <v>-109.102687343</v>
      </c>
      <c r="J27" s="152">
        <v>54.255035808700001</v>
      </c>
      <c r="K27" s="151">
        <v>-89.913254991200006</v>
      </c>
      <c r="L27" s="151">
        <v>-0.27625453889999818</v>
      </c>
      <c r="M27" s="291">
        <v>2.04</v>
      </c>
      <c r="N27" s="289">
        <v>18.8</v>
      </c>
      <c r="O27" s="289">
        <v>2.04</v>
      </c>
      <c r="P27" s="56" t="s">
        <v>560</v>
      </c>
      <c r="Q27" s="5"/>
      <c r="R27" s="45" t="s">
        <v>561</v>
      </c>
      <c r="S27" t="s">
        <v>558</v>
      </c>
      <c r="T27" s="128" t="s">
        <v>559</v>
      </c>
    </row>
    <row r="28" spans="1:20" x14ac:dyDescent="0.2">
      <c r="B28" s="129"/>
      <c r="C28" s="45"/>
      <c r="D28" s="45"/>
      <c r="E28" s="147"/>
      <c r="F28" s="147"/>
      <c r="G28" s="148"/>
      <c r="H28" s="151"/>
      <c r="I28" s="151"/>
      <c r="J28" s="152"/>
      <c r="K28" s="151"/>
      <c r="L28" s="158" t="s">
        <v>581</v>
      </c>
      <c r="M28" s="159">
        <f>AVERAGE(M22:M27)</f>
        <v>2.2883333333333336</v>
      </c>
      <c r="N28" s="159">
        <f t="shared" ref="N28" si="4">AVERAGE(N22:N27)</f>
        <v>17.596666666666668</v>
      </c>
      <c r="O28" s="159">
        <f t="shared" ref="O28" si="5">AVERAGE(O22:O27)</f>
        <v>2.2883333333333336</v>
      </c>
      <c r="P28" s="164" t="s">
        <v>560</v>
      </c>
      <c r="Q28" s="161"/>
      <c r="R28" s="165" t="s">
        <v>561</v>
      </c>
      <c r="S28" s="163" t="s">
        <v>558</v>
      </c>
      <c r="T28" s="162" t="s">
        <v>559</v>
      </c>
    </row>
    <row r="29" spans="1:20" x14ac:dyDescent="0.2">
      <c r="B29" s="129"/>
      <c r="C29" s="45"/>
      <c r="D29" s="45"/>
      <c r="E29" s="147"/>
      <c r="F29" s="147"/>
      <c r="G29" s="148"/>
      <c r="H29" s="151"/>
      <c r="I29" s="151"/>
      <c r="J29" s="152"/>
      <c r="K29" s="151"/>
      <c r="L29" s="151"/>
      <c r="M29" s="2"/>
      <c r="N29" s="14"/>
      <c r="O29" s="14"/>
      <c r="P29" s="56"/>
      <c r="Q29" s="5"/>
      <c r="R29" s="45"/>
      <c r="T29" s="128"/>
    </row>
    <row r="30" spans="1:20" x14ac:dyDescent="0.2">
      <c r="A30" s="45" t="s">
        <v>554</v>
      </c>
      <c r="B30" s="129" t="s">
        <v>60</v>
      </c>
      <c r="C30" s="45" t="s">
        <v>555</v>
      </c>
      <c r="D30" s="45" t="s">
        <v>187</v>
      </c>
      <c r="E30" s="140">
        <v>48.7</v>
      </c>
      <c r="F30" s="140">
        <v>-122.5</v>
      </c>
      <c r="G30" s="141">
        <v>50.490699999999997</v>
      </c>
      <c r="H30" s="142">
        <v>54.531290347599999</v>
      </c>
      <c r="I30" s="142">
        <v>-109.102687343</v>
      </c>
      <c r="J30" s="143">
        <v>54.255035808700001</v>
      </c>
      <c r="K30" s="142">
        <v>-89.913254991200006</v>
      </c>
      <c r="L30" s="142">
        <v>-0.27625453889999818</v>
      </c>
      <c r="M30" s="288">
        <v>3.96</v>
      </c>
      <c r="N30" s="289">
        <v>19.5</v>
      </c>
      <c r="O30" s="289">
        <v>3.96</v>
      </c>
      <c r="P30" s="56" t="s">
        <v>562</v>
      </c>
      <c r="Q30" s="11"/>
      <c r="R30" s="128" t="s">
        <v>563</v>
      </c>
      <c r="S30" s="45" t="s">
        <v>558</v>
      </c>
      <c r="T30" s="128" t="s">
        <v>559</v>
      </c>
    </row>
    <row r="31" spans="1:20" x14ac:dyDescent="0.2">
      <c r="A31" s="45" t="s">
        <v>569</v>
      </c>
      <c r="B31" s="129" t="s">
        <v>60</v>
      </c>
      <c r="C31" s="45" t="s">
        <v>555</v>
      </c>
      <c r="D31" s="45" t="s">
        <v>187</v>
      </c>
      <c r="E31" s="140">
        <v>48.7</v>
      </c>
      <c r="F31" s="140">
        <v>-122.5</v>
      </c>
      <c r="G31" s="141">
        <v>50.490699999999997</v>
      </c>
      <c r="H31" s="144">
        <v>54.531290347599999</v>
      </c>
      <c r="I31" s="144">
        <v>-109.102687343</v>
      </c>
      <c r="J31" s="143">
        <v>54.255035808700001</v>
      </c>
      <c r="K31" s="144">
        <v>-89.913254991200006</v>
      </c>
      <c r="L31" s="144">
        <v>-0.27625453889999818</v>
      </c>
      <c r="M31" s="288">
        <v>3.25</v>
      </c>
      <c r="N31" s="289">
        <v>16.7</v>
      </c>
      <c r="O31" s="289">
        <v>3.25</v>
      </c>
      <c r="P31" s="56" t="s">
        <v>562</v>
      </c>
      <c r="Q31" s="11"/>
      <c r="R31" s="128" t="s">
        <v>563</v>
      </c>
      <c r="S31" s="45" t="s">
        <v>558</v>
      </c>
      <c r="T31" s="128" t="s">
        <v>559</v>
      </c>
    </row>
    <row r="32" spans="1:20" x14ac:dyDescent="0.2">
      <c r="A32" s="45" t="s">
        <v>570</v>
      </c>
      <c r="B32" s="129" t="s">
        <v>60</v>
      </c>
      <c r="C32" s="45" t="s">
        <v>75</v>
      </c>
      <c r="D32" s="45" t="s">
        <v>187</v>
      </c>
      <c r="E32" s="147">
        <v>48.7</v>
      </c>
      <c r="F32" s="147">
        <v>-122.5</v>
      </c>
      <c r="G32" s="148">
        <v>50.490699999999997</v>
      </c>
      <c r="H32" s="149">
        <v>54.531290347599999</v>
      </c>
      <c r="I32" s="149">
        <v>-109.102687343</v>
      </c>
      <c r="J32" s="150">
        <v>54.255035808700001</v>
      </c>
      <c r="K32" s="149">
        <v>-89.913254991200006</v>
      </c>
      <c r="L32" s="149">
        <v>-0.27625453889999818</v>
      </c>
      <c r="M32" s="293">
        <v>3.45</v>
      </c>
      <c r="N32" s="289">
        <v>28.62</v>
      </c>
      <c r="O32" s="289">
        <v>3.45</v>
      </c>
      <c r="P32" s="20" t="s">
        <v>562</v>
      </c>
      <c r="Q32" s="5"/>
      <c r="R32" s="128" t="s">
        <v>563</v>
      </c>
      <c r="S32" t="s">
        <v>558</v>
      </c>
      <c r="T32" s="128" t="s">
        <v>559</v>
      </c>
    </row>
    <row r="33" spans="1:20" x14ac:dyDescent="0.2">
      <c r="A33" t="s">
        <v>571</v>
      </c>
      <c r="B33" s="129" t="s">
        <v>60</v>
      </c>
      <c r="C33" s="45" t="s">
        <v>572</v>
      </c>
      <c r="D33" s="45" t="s">
        <v>187</v>
      </c>
      <c r="E33" s="147">
        <v>48.7</v>
      </c>
      <c r="F33" s="147">
        <v>-122.5</v>
      </c>
      <c r="G33" s="148">
        <v>50.490699999999997</v>
      </c>
      <c r="H33" s="151">
        <v>54.531290347599999</v>
      </c>
      <c r="I33" s="151">
        <v>-109.102687343</v>
      </c>
      <c r="J33" s="152">
        <v>54.255035808700001</v>
      </c>
      <c r="K33" s="151">
        <v>-89.913254991200006</v>
      </c>
      <c r="L33" s="151">
        <v>-0.27625453889999818</v>
      </c>
      <c r="M33" s="291">
        <v>3.05</v>
      </c>
      <c r="N33" s="289">
        <v>26.8</v>
      </c>
      <c r="O33" s="289">
        <v>3.05</v>
      </c>
      <c r="P33" s="20" t="s">
        <v>562</v>
      </c>
      <c r="Q33" s="5"/>
      <c r="R33" s="128" t="s">
        <v>563</v>
      </c>
      <c r="S33" t="s">
        <v>558</v>
      </c>
      <c r="T33" s="128" t="s">
        <v>559</v>
      </c>
    </row>
    <row r="34" spans="1:20" x14ac:dyDescent="0.2">
      <c r="A34" t="s">
        <v>573</v>
      </c>
      <c r="B34" s="129" t="s">
        <v>60</v>
      </c>
      <c r="C34" s="45" t="s">
        <v>75</v>
      </c>
      <c r="D34" s="45" t="s">
        <v>187</v>
      </c>
      <c r="E34" s="147">
        <v>48.7</v>
      </c>
      <c r="F34" s="147">
        <v>-122.5</v>
      </c>
      <c r="G34" s="148">
        <v>50.490699999999997</v>
      </c>
      <c r="H34" s="151">
        <v>54.531290347599999</v>
      </c>
      <c r="I34" s="151">
        <v>-109.102687343</v>
      </c>
      <c r="J34" s="152">
        <v>54.255035808700001</v>
      </c>
      <c r="K34" s="151">
        <v>-89.913254991200006</v>
      </c>
      <c r="L34" s="151">
        <v>-0.27625453889999818</v>
      </c>
      <c r="M34" s="291">
        <v>3.69</v>
      </c>
      <c r="N34" s="289">
        <v>24.4</v>
      </c>
      <c r="O34" s="289">
        <v>3.69</v>
      </c>
      <c r="P34" s="20" t="s">
        <v>562</v>
      </c>
      <c r="Q34" s="5"/>
      <c r="R34" s="128" t="s">
        <v>563</v>
      </c>
      <c r="S34" t="s">
        <v>558</v>
      </c>
      <c r="T34" s="128" t="s">
        <v>559</v>
      </c>
    </row>
    <row r="35" spans="1:20" x14ac:dyDescent="0.2">
      <c r="A35" t="s">
        <v>574</v>
      </c>
      <c r="B35" s="129" t="s">
        <v>60</v>
      </c>
      <c r="C35" s="45" t="s">
        <v>75</v>
      </c>
      <c r="D35" s="45" t="s">
        <v>187</v>
      </c>
      <c r="E35" s="147">
        <v>48.7</v>
      </c>
      <c r="F35" s="147">
        <v>-122.5</v>
      </c>
      <c r="G35" s="148">
        <v>50.490699999999997</v>
      </c>
      <c r="H35" s="151">
        <v>54.531290347599999</v>
      </c>
      <c r="I35" s="151">
        <v>-109.102687343</v>
      </c>
      <c r="J35" s="152">
        <v>54.255035808700001</v>
      </c>
      <c r="K35" s="151">
        <v>-89.913254991200006</v>
      </c>
      <c r="L35" s="151">
        <v>-0.27625453889999818</v>
      </c>
      <c r="M35" s="291">
        <v>3.04</v>
      </c>
      <c r="N35" s="289">
        <v>25.4</v>
      </c>
      <c r="O35" s="289">
        <v>3.04</v>
      </c>
      <c r="P35" s="20" t="s">
        <v>562</v>
      </c>
      <c r="Q35" s="5"/>
      <c r="R35" s="128" t="s">
        <v>563</v>
      </c>
      <c r="S35" t="s">
        <v>558</v>
      </c>
      <c r="T35" s="128" t="s">
        <v>559</v>
      </c>
    </row>
    <row r="36" spans="1:20" x14ac:dyDescent="0.2">
      <c r="B36" s="129"/>
      <c r="C36" s="45"/>
      <c r="D36" s="45"/>
      <c r="E36" s="147"/>
      <c r="F36" s="147"/>
      <c r="G36" s="148"/>
      <c r="H36" s="151"/>
      <c r="I36" s="151"/>
      <c r="J36" s="152"/>
      <c r="K36" s="151"/>
      <c r="L36" s="158" t="s">
        <v>581</v>
      </c>
      <c r="M36" s="159">
        <f>AVERAGE(M30:M35)</f>
        <v>3.4066666666666667</v>
      </c>
      <c r="N36" s="159">
        <f t="shared" ref="N36" si="6">AVERAGE(N30:N35)</f>
        <v>23.570000000000004</v>
      </c>
      <c r="O36" s="159">
        <f t="shared" ref="O36" si="7">AVERAGE(O30:O35)</f>
        <v>3.4066666666666667</v>
      </c>
      <c r="P36" s="160" t="s">
        <v>562</v>
      </c>
      <c r="Q36" s="161"/>
      <c r="R36" s="162" t="s">
        <v>563</v>
      </c>
      <c r="S36" s="163" t="s">
        <v>558</v>
      </c>
      <c r="T36" s="162" t="s">
        <v>559</v>
      </c>
    </row>
    <row r="37" spans="1:20" x14ac:dyDescent="0.2">
      <c r="B37" s="129"/>
      <c r="C37" s="45"/>
      <c r="D37" s="45"/>
      <c r="E37" s="147"/>
      <c r="F37" s="147"/>
      <c r="G37" s="148"/>
      <c r="H37" s="151"/>
      <c r="I37" s="151"/>
      <c r="J37" s="152"/>
      <c r="K37" s="151"/>
      <c r="L37" s="151"/>
      <c r="M37" s="2"/>
      <c r="N37" s="14"/>
      <c r="O37" s="14"/>
      <c r="P37" s="20"/>
      <c r="Q37" s="5"/>
      <c r="R37" s="128"/>
      <c r="T37" s="128"/>
    </row>
    <row r="38" spans="1:20" x14ac:dyDescent="0.2">
      <c r="A38" s="45" t="s">
        <v>554</v>
      </c>
      <c r="B38" s="129" t="s">
        <v>60</v>
      </c>
      <c r="C38" s="45" t="s">
        <v>555</v>
      </c>
      <c r="D38" s="45" t="s">
        <v>187</v>
      </c>
      <c r="E38" s="140">
        <v>48.7</v>
      </c>
      <c r="F38" s="140">
        <v>-122.5</v>
      </c>
      <c r="G38" s="141">
        <v>50.490699999999997</v>
      </c>
      <c r="H38" s="142">
        <v>54.531290347599999</v>
      </c>
      <c r="I38" s="142">
        <v>-109.102687343</v>
      </c>
      <c r="J38" s="143">
        <v>54.255035808700001</v>
      </c>
      <c r="K38" s="142">
        <v>-89.913254991200006</v>
      </c>
      <c r="L38" s="142">
        <v>-0.27625453889999818</v>
      </c>
      <c r="M38" s="288">
        <v>2.2200000000000002</v>
      </c>
      <c r="N38" s="289">
        <v>14.31</v>
      </c>
      <c r="O38" s="289">
        <v>2.2200000000000002</v>
      </c>
      <c r="P38" s="56" t="s">
        <v>564</v>
      </c>
      <c r="Q38" s="11"/>
      <c r="R38" s="128" t="s">
        <v>565</v>
      </c>
      <c r="S38" s="45" t="s">
        <v>558</v>
      </c>
      <c r="T38" s="128" t="s">
        <v>559</v>
      </c>
    </row>
    <row r="39" spans="1:20" x14ac:dyDescent="0.2">
      <c r="A39" s="45" t="s">
        <v>569</v>
      </c>
      <c r="B39" s="129" t="s">
        <v>60</v>
      </c>
      <c r="C39" s="45" t="s">
        <v>555</v>
      </c>
      <c r="D39" s="45" t="s">
        <v>187</v>
      </c>
      <c r="E39" s="140">
        <v>48.7</v>
      </c>
      <c r="F39" s="140">
        <v>-122.5</v>
      </c>
      <c r="G39" s="141">
        <v>50.490699999999997</v>
      </c>
      <c r="H39" s="142">
        <v>54.531290347599999</v>
      </c>
      <c r="I39" s="142">
        <v>-109.102687343</v>
      </c>
      <c r="J39" s="143">
        <v>54.255035808700001</v>
      </c>
      <c r="K39" s="142">
        <v>-89.913254991200006</v>
      </c>
      <c r="L39" s="142">
        <v>-0.27625453889999818</v>
      </c>
      <c r="M39" s="288">
        <v>2</v>
      </c>
      <c r="N39" s="289">
        <v>12.76</v>
      </c>
      <c r="O39" s="289">
        <v>2</v>
      </c>
      <c r="P39" s="56" t="s">
        <v>564</v>
      </c>
      <c r="Q39" s="11"/>
      <c r="R39" s="128" t="s">
        <v>565</v>
      </c>
      <c r="S39" s="45" t="s">
        <v>558</v>
      </c>
      <c r="T39" s="128" t="s">
        <v>559</v>
      </c>
    </row>
    <row r="40" spans="1:20" x14ac:dyDescent="0.2">
      <c r="A40" s="45" t="s">
        <v>570</v>
      </c>
      <c r="B40" s="129" t="s">
        <v>60</v>
      </c>
      <c r="C40" s="45" t="s">
        <v>75</v>
      </c>
      <c r="D40" s="45" t="s">
        <v>187</v>
      </c>
      <c r="E40" s="147">
        <v>48.7</v>
      </c>
      <c r="F40" s="147">
        <v>-122.5</v>
      </c>
      <c r="G40" s="148">
        <v>50.490699999999997</v>
      </c>
      <c r="H40" s="151">
        <v>54.531290347599999</v>
      </c>
      <c r="I40" s="151">
        <v>-109.102687343</v>
      </c>
      <c r="J40" s="152">
        <v>54.255035808700001</v>
      </c>
      <c r="K40" s="151">
        <v>-89.913254991200006</v>
      </c>
      <c r="L40" s="151">
        <v>-0.27625453889999818</v>
      </c>
      <c r="M40" s="291">
        <v>2</v>
      </c>
      <c r="N40" s="289">
        <v>19.440000000000001</v>
      </c>
      <c r="O40" s="289">
        <v>2</v>
      </c>
      <c r="P40" s="20" t="s">
        <v>564</v>
      </c>
      <c r="Q40" s="5"/>
      <c r="R40" s="128" t="s">
        <v>565</v>
      </c>
      <c r="S40" t="s">
        <v>558</v>
      </c>
      <c r="T40" s="128" t="s">
        <v>559</v>
      </c>
    </row>
    <row r="41" spans="1:20" x14ac:dyDescent="0.2">
      <c r="A41" t="s">
        <v>571</v>
      </c>
      <c r="B41" s="129" t="s">
        <v>60</v>
      </c>
      <c r="C41" s="45" t="s">
        <v>572</v>
      </c>
      <c r="D41" s="45" t="s">
        <v>187</v>
      </c>
      <c r="E41" s="147">
        <v>48.7</v>
      </c>
      <c r="F41" s="147">
        <v>-122.5</v>
      </c>
      <c r="G41" s="148">
        <v>50.490699999999997</v>
      </c>
      <c r="H41" s="151">
        <v>54.531290347599999</v>
      </c>
      <c r="I41" s="151">
        <v>-109.102687343</v>
      </c>
      <c r="J41" s="152">
        <v>54.255035808700001</v>
      </c>
      <c r="K41" s="151">
        <v>-89.913254991200006</v>
      </c>
      <c r="L41" s="151">
        <v>-0.27625453889999818</v>
      </c>
      <c r="M41" s="291">
        <v>2</v>
      </c>
      <c r="N41" s="289">
        <v>18.41</v>
      </c>
      <c r="O41" s="289">
        <v>2</v>
      </c>
      <c r="P41" s="20" t="s">
        <v>564</v>
      </c>
      <c r="Q41" s="5"/>
      <c r="R41" s="128" t="s">
        <v>565</v>
      </c>
      <c r="S41" t="s">
        <v>558</v>
      </c>
      <c r="T41" s="128" t="s">
        <v>559</v>
      </c>
    </row>
    <row r="42" spans="1:20" x14ac:dyDescent="0.2">
      <c r="A42" t="s">
        <v>573</v>
      </c>
      <c r="B42" s="129" t="s">
        <v>60</v>
      </c>
      <c r="C42" s="45" t="s">
        <v>75</v>
      </c>
      <c r="D42" s="45" t="s">
        <v>187</v>
      </c>
      <c r="E42" s="147">
        <v>48.7</v>
      </c>
      <c r="F42" s="147">
        <v>-122.5</v>
      </c>
      <c r="G42" s="148">
        <v>50.490699999999997</v>
      </c>
      <c r="H42" s="151">
        <v>54.531290347599999</v>
      </c>
      <c r="I42" s="151">
        <v>-109.102687343</v>
      </c>
      <c r="J42" s="152">
        <v>54.255035808700001</v>
      </c>
      <c r="K42" s="151">
        <v>-89.913254991200006</v>
      </c>
      <c r="L42" s="151">
        <v>-0.27625453889999818</v>
      </c>
      <c r="M42" s="291">
        <v>2.0699999999999998</v>
      </c>
      <c r="N42" s="289">
        <v>17</v>
      </c>
      <c r="O42" s="289">
        <v>2.0699999999999998</v>
      </c>
      <c r="P42" s="20" t="s">
        <v>564</v>
      </c>
      <c r="Q42" s="5"/>
      <c r="R42" s="128" t="s">
        <v>565</v>
      </c>
      <c r="S42" t="s">
        <v>558</v>
      </c>
      <c r="T42" s="128" t="s">
        <v>559</v>
      </c>
    </row>
    <row r="43" spans="1:20" x14ac:dyDescent="0.2">
      <c r="A43" t="s">
        <v>574</v>
      </c>
      <c r="B43" s="129" t="s">
        <v>60</v>
      </c>
      <c r="C43" s="45" t="s">
        <v>75</v>
      </c>
      <c r="D43" s="45" t="s">
        <v>187</v>
      </c>
      <c r="E43" s="147">
        <v>48.7</v>
      </c>
      <c r="F43" s="147">
        <v>-122.5</v>
      </c>
      <c r="G43" s="148">
        <v>50.490699999999997</v>
      </c>
      <c r="H43" s="151">
        <v>54.531290347599999</v>
      </c>
      <c r="I43" s="151">
        <v>-109.102687343</v>
      </c>
      <c r="J43" s="152">
        <v>54.255035808700001</v>
      </c>
      <c r="K43" s="151">
        <v>-89.913254991200006</v>
      </c>
      <c r="L43" s="151">
        <v>-0.27625453889999818</v>
      </c>
      <c r="M43" s="291">
        <v>2</v>
      </c>
      <c r="N43" s="289">
        <v>17.600000000000001</v>
      </c>
      <c r="O43" s="289">
        <v>2</v>
      </c>
      <c r="P43" s="20" t="s">
        <v>564</v>
      </c>
      <c r="Q43" s="5"/>
      <c r="R43" s="128" t="s">
        <v>565</v>
      </c>
      <c r="S43" t="s">
        <v>558</v>
      </c>
      <c r="T43" s="128" t="s">
        <v>559</v>
      </c>
    </row>
    <row r="44" spans="1:20" x14ac:dyDescent="0.2">
      <c r="B44" s="129"/>
      <c r="C44" s="45"/>
      <c r="D44" s="45"/>
      <c r="E44" s="147"/>
      <c r="F44" s="147"/>
      <c r="G44" s="148"/>
      <c r="H44" s="151"/>
      <c r="I44" s="151"/>
      <c r="J44" s="152"/>
      <c r="K44" s="151"/>
      <c r="L44" s="158" t="s">
        <v>581</v>
      </c>
      <c r="M44" s="159">
        <f>AVERAGE(M38:M43)</f>
        <v>2.0483333333333333</v>
      </c>
      <c r="N44" s="159">
        <f t="shared" ref="N44" si="8">AVERAGE(N38:N43)</f>
        <v>16.58666666666667</v>
      </c>
      <c r="O44" s="159">
        <f t="shared" ref="O44" si="9">AVERAGE(O38:O43)</f>
        <v>2.0483333333333333</v>
      </c>
      <c r="P44" s="160" t="s">
        <v>564</v>
      </c>
      <c r="Q44" s="161"/>
      <c r="R44" s="162" t="s">
        <v>565</v>
      </c>
      <c r="S44" s="163" t="s">
        <v>558</v>
      </c>
      <c r="T44" s="162" t="s">
        <v>559</v>
      </c>
    </row>
    <row r="45" spans="1:20" x14ac:dyDescent="0.2">
      <c r="B45" s="129"/>
      <c r="C45" s="45"/>
      <c r="D45" s="45"/>
      <c r="E45" s="147"/>
      <c r="F45" s="147"/>
      <c r="G45" s="148"/>
      <c r="H45" s="151"/>
      <c r="I45" s="151"/>
      <c r="J45" s="152"/>
      <c r="K45" s="151"/>
      <c r="L45" s="158" t="s">
        <v>582</v>
      </c>
      <c r="M45" s="159">
        <f>AVERAGE(M6:M11,M14:M19,M22:M27,M30:M35,M38:M43)</f>
        <v>2.5426666666666664</v>
      </c>
      <c r="N45" s="159">
        <f>AVERAGE(N6:N11,N14:N19,N22:N27,N30:N35,N38:N43)</f>
        <v>18.495666666666668</v>
      </c>
      <c r="O45" s="159">
        <f>AVERAGE(O6:O11,O14:O19,O22:O27,O30:O35,O38:O43)</f>
        <v>2.5426666666666664</v>
      </c>
      <c r="P45" s="20"/>
      <c r="Q45" s="5"/>
      <c r="R45" s="128"/>
      <c r="T45" s="128"/>
    </row>
    <row r="46" spans="1:20" x14ac:dyDescent="0.2">
      <c r="B46" s="129"/>
      <c r="C46" s="45"/>
      <c r="D46" s="45"/>
      <c r="E46" s="147"/>
      <c r="F46" s="147"/>
      <c r="G46" s="148"/>
      <c r="H46" s="151"/>
      <c r="I46" s="151"/>
      <c r="J46" s="152"/>
      <c r="K46" s="151"/>
      <c r="L46" s="151"/>
      <c r="M46" s="2"/>
      <c r="N46" s="14"/>
      <c r="O46" s="6"/>
      <c r="P46" s="20"/>
      <c r="Q46" s="5"/>
      <c r="R46" s="128"/>
      <c r="T46" s="128"/>
    </row>
    <row r="47" spans="1:20" x14ac:dyDescent="0.2">
      <c r="A47" s="130" t="s">
        <v>575</v>
      </c>
      <c r="B47" s="129" t="s">
        <v>60</v>
      </c>
      <c r="C47" s="131" t="s">
        <v>576</v>
      </c>
      <c r="D47" s="130" t="s">
        <v>577</v>
      </c>
      <c r="E47" s="153">
        <v>48.7</v>
      </c>
      <c r="F47" s="153">
        <v>-122.5</v>
      </c>
      <c r="G47" s="153">
        <v>50.490699999999997</v>
      </c>
      <c r="H47" s="154">
        <v>54.531290347599999</v>
      </c>
      <c r="I47" s="154">
        <v>-109.102687343</v>
      </c>
      <c r="J47" s="155">
        <v>54.255035808700001</v>
      </c>
      <c r="K47" s="154">
        <v>-89.913254991200006</v>
      </c>
      <c r="L47" s="154">
        <v>-0.27625453889999818</v>
      </c>
      <c r="M47" s="133">
        <v>3.04</v>
      </c>
      <c r="N47" s="134">
        <v>18.28</v>
      </c>
      <c r="O47" s="134">
        <v>3.04</v>
      </c>
      <c r="P47" s="135" t="s">
        <v>556</v>
      </c>
      <c r="Q47" s="136"/>
      <c r="R47" s="131" t="s">
        <v>557</v>
      </c>
      <c r="S47" s="130" t="s">
        <v>558</v>
      </c>
      <c r="T47" s="131" t="s">
        <v>559</v>
      </c>
    </row>
    <row r="48" spans="1:20" x14ac:dyDescent="0.2">
      <c r="A48" s="130" t="s">
        <v>575</v>
      </c>
      <c r="B48" s="129" t="s">
        <v>60</v>
      </c>
      <c r="C48" s="130"/>
      <c r="D48" s="130" t="s">
        <v>577</v>
      </c>
      <c r="E48" s="153">
        <v>48.7</v>
      </c>
      <c r="F48" s="153">
        <v>-122.5</v>
      </c>
      <c r="G48" s="153">
        <v>50.490699999999997</v>
      </c>
      <c r="H48" s="154">
        <v>54.531290347599999</v>
      </c>
      <c r="I48" s="154">
        <v>-109.102687343</v>
      </c>
      <c r="J48" s="155">
        <v>54.255035808700001</v>
      </c>
      <c r="K48" s="154">
        <v>-89.913254991200006</v>
      </c>
      <c r="L48" s="154">
        <v>-0.27625453889999818</v>
      </c>
      <c r="M48" s="133">
        <v>2.42</v>
      </c>
      <c r="N48" s="134">
        <v>16.91</v>
      </c>
      <c r="O48" s="134">
        <v>2.42</v>
      </c>
      <c r="P48" s="135" t="s">
        <v>560</v>
      </c>
      <c r="Q48" s="136"/>
      <c r="R48" s="131" t="s">
        <v>561</v>
      </c>
      <c r="S48" s="130" t="s">
        <v>558</v>
      </c>
      <c r="T48" s="131" t="s">
        <v>559</v>
      </c>
    </row>
    <row r="49" spans="1:20" x14ac:dyDescent="0.2">
      <c r="A49" s="130" t="s">
        <v>575</v>
      </c>
      <c r="B49" s="129" t="s">
        <v>60</v>
      </c>
      <c r="C49" s="130"/>
      <c r="D49" s="130" t="s">
        <v>577</v>
      </c>
      <c r="E49" s="153">
        <v>48.7</v>
      </c>
      <c r="F49" s="153">
        <v>-122.5</v>
      </c>
      <c r="G49" s="153">
        <v>50.490699999999997</v>
      </c>
      <c r="H49" s="154">
        <v>54.531290347599999</v>
      </c>
      <c r="I49" s="154">
        <v>-109.102687343</v>
      </c>
      <c r="J49" s="155">
        <v>54.255035808700001</v>
      </c>
      <c r="K49" s="154">
        <v>-89.913254991200006</v>
      </c>
      <c r="L49" s="154">
        <v>-0.27625453889999818</v>
      </c>
      <c r="M49" s="133">
        <v>3.6</v>
      </c>
      <c r="N49" s="134">
        <v>22.55</v>
      </c>
      <c r="O49" s="134">
        <v>3.6</v>
      </c>
      <c r="P49" s="137" t="s">
        <v>562</v>
      </c>
      <c r="Q49" s="136"/>
      <c r="R49" s="131" t="s">
        <v>563</v>
      </c>
      <c r="S49" s="130" t="s">
        <v>558</v>
      </c>
      <c r="T49" s="131" t="s">
        <v>559</v>
      </c>
    </row>
    <row r="50" spans="1:20" x14ac:dyDescent="0.2">
      <c r="A50" s="130" t="s">
        <v>575</v>
      </c>
      <c r="B50" s="129" t="s">
        <v>60</v>
      </c>
      <c r="C50" s="130"/>
      <c r="D50" s="130" t="s">
        <v>577</v>
      </c>
      <c r="E50" s="153">
        <v>48.7</v>
      </c>
      <c r="F50" s="153">
        <v>-122.5</v>
      </c>
      <c r="G50" s="153">
        <v>50.490699999999997</v>
      </c>
      <c r="H50" s="154">
        <v>54.531290347599999</v>
      </c>
      <c r="I50" s="154">
        <v>-109.102687343</v>
      </c>
      <c r="J50" s="155">
        <v>54.255035808700001</v>
      </c>
      <c r="K50" s="154">
        <v>-89.913254991200006</v>
      </c>
      <c r="L50" s="154">
        <v>-0.27625453889999818</v>
      </c>
      <c r="M50" s="133">
        <v>2.0299999999999998</v>
      </c>
      <c r="N50" s="134">
        <v>16.02</v>
      </c>
      <c r="O50" s="134">
        <v>2.0299999999999998</v>
      </c>
      <c r="P50" s="137" t="s">
        <v>564</v>
      </c>
      <c r="Q50" s="136"/>
      <c r="R50" s="131" t="s">
        <v>565</v>
      </c>
      <c r="S50" s="130" t="s">
        <v>558</v>
      </c>
      <c r="T50" s="131" t="s">
        <v>559</v>
      </c>
    </row>
    <row r="51" spans="1:20" x14ac:dyDescent="0.2">
      <c r="A51" s="130" t="s">
        <v>575</v>
      </c>
      <c r="B51" s="129" t="s">
        <v>60</v>
      </c>
      <c r="C51" s="130"/>
      <c r="D51" s="130" t="s">
        <v>577</v>
      </c>
      <c r="E51" s="153">
        <v>48.7</v>
      </c>
      <c r="F51" s="153">
        <v>-122.5</v>
      </c>
      <c r="G51" s="153">
        <v>50.490699999999997</v>
      </c>
      <c r="H51" s="156">
        <v>54.531290347599999</v>
      </c>
      <c r="I51" s="156">
        <v>-109.102687343</v>
      </c>
      <c r="J51" s="157">
        <v>54.255035808700001</v>
      </c>
      <c r="K51" s="156">
        <v>-89.913254991200006</v>
      </c>
      <c r="L51" s="156">
        <v>-0.27625453889999818</v>
      </c>
      <c r="M51" s="138">
        <v>2.1</v>
      </c>
      <c r="N51" s="134">
        <v>18.899999999999999</v>
      </c>
      <c r="O51" s="132">
        <v>2.1</v>
      </c>
      <c r="P51" s="137" t="s">
        <v>566</v>
      </c>
      <c r="Q51" s="136"/>
      <c r="R51" s="131" t="s">
        <v>567</v>
      </c>
      <c r="S51" s="130" t="s">
        <v>558</v>
      </c>
      <c r="T51" s="131" t="s">
        <v>568</v>
      </c>
    </row>
    <row r="52" spans="1:20" x14ac:dyDescent="0.2">
      <c r="A52" s="130" t="s">
        <v>578</v>
      </c>
      <c r="B52" s="129" t="s">
        <v>60</v>
      </c>
      <c r="C52" s="130" t="s">
        <v>579</v>
      </c>
      <c r="D52" s="130" t="s">
        <v>577</v>
      </c>
      <c r="E52" s="153">
        <v>48.7</v>
      </c>
      <c r="F52" s="153">
        <v>-122.5</v>
      </c>
      <c r="G52" s="153">
        <v>50.490699999999997</v>
      </c>
      <c r="H52" s="156">
        <v>54.531290347599999</v>
      </c>
      <c r="I52" s="156">
        <v>-109.102687343</v>
      </c>
      <c r="J52" s="157">
        <v>54.255035808700001</v>
      </c>
      <c r="K52" s="156">
        <v>-89.913254991200006</v>
      </c>
      <c r="L52" s="156">
        <v>-0.27625453889999818</v>
      </c>
      <c r="M52" s="138">
        <v>2.27</v>
      </c>
      <c r="N52" s="134">
        <v>17.8</v>
      </c>
      <c r="O52" s="134">
        <v>2.27</v>
      </c>
      <c r="P52" s="135" t="s">
        <v>556</v>
      </c>
      <c r="Q52" s="136"/>
      <c r="R52" s="131" t="s">
        <v>557</v>
      </c>
      <c r="S52" s="130" t="s">
        <v>558</v>
      </c>
      <c r="T52" s="131" t="s">
        <v>559</v>
      </c>
    </row>
    <row r="53" spans="1:20" x14ac:dyDescent="0.2">
      <c r="A53" s="130" t="s">
        <v>578</v>
      </c>
      <c r="B53" s="129" t="s">
        <v>60</v>
      </c>
      <c r="C53" s="130"/>
      <c r="D53" s="130" t="s">
        <v>577</v>
      </c>
      <c r="E53" s="153">
        <v>48.7</v>
      </c>
      <c r="F53" s="153">
        <v>-122.5</v>
      </c>
      <c r="G53" s="153">
        <v>50.490699999999997</v>
      </c>
      <c r="H53" s="156">
        <v>54.531290347599999</v>
      </c>
      <c r="I53" s="156">
        <v>-109.102687343</v>
      </c>
      <c r="J53" s="157">
        <v>54.255035808700001</v>
      </c>
      <c r="K53" s="156">
        <v>-89.913254991200006</v>
      </c>
      <c r="L53" s="156">
        <v>-0.27625453889999818</v>
      </c>
      <c r="M53" s="138">
        <v>2</v>
      </c>
      <c r="N53" s="134">
        <v>16.53</v>
      </c>
      <c r="O53" s="134">
        <v>2</v>
      </c>
      <c r="P53" s="135" t="s">
        <v>560</v>
      </c>
      <c r="Q53" s="136"/>
      <c r="R53" s="131" t="s">
        <v>561</v>
      </c>
      <c r="S53" s="130" t="s">
        <v>558</v>
      </c>
      <c r="T53" s="131" t="s">
        <v>559</v>
      </c>
    </row>
    <row r="54" spans="1:20" x14ac:dyDescent="0.2">
      <c r="A54" s="130" t="s">
        <v>578</v>
      </c>
      <c r="B54" s="129" t="s">
        <v>60</v>
      </c>
      <c r="C54" s="130"/>
      <c r="D54" s="130" t="s">
        <v>577</v>
      </c>
      <c r="E54" s="153">
        <v>48.7</v>
      </c>
      <c r="F54" s="153">
        <v>-122.5</v>
      </c>
      <c r="G54" s="153">
        <v>50.490699999999997</v>
      </c>
      <c r="H54" s="156">
        <v>54.531290347599999</v>
      </c>
      <c r="I54" s="156">
        <v>-109.102687343</v>
      </c>
      <c r="J54" s="157">
        <v>54.255035808700001</v>
      </c>
      <c r="K54" s="156">
        <v>-89.913254991200006</v>
      </c>
      <c r="L54" s="156">
        <v>-0.27625453889999818</v>
      </c>
      <c r="M54" s="139">
        <v>2.69</v>
      </c>
      <c r="N54" s="134">
        <v>21.99</v>
      </c>
      <c r="O54" s="134">
        <v>2.69</v>
      </c>
      <c r="P54" s="137" t="s">
        <v>562</v>
      </c>
      <c r="Q54" s="136"/>
      <c r="R54" s="131" t="s">
        <v>563</v>
      </c>
      <c r="S54" s="130" t="s">
        <v>558</v>
      </c>
      <c r="T54" s="131" t="s">
        <v>559</v>
      </c>
    </row>
    <row r="55" spans="1:20" x14ac:dyDescent="0.2">
      <c r="A55" s="130" t="s">
        <v>578</v>
      </c>
      <c r="B55" s="129" t="s">
        <v>60</v>
      </c>
      <c r="C55" s="130"/>
      <c r="D55" s="130" t="s">
        <v>577</v>
      </c>
      <c r="E55" s="153">
        <v>48.7</v>
      </c>
      <c r="F55" s="153">
        <v>-122.5</v>
      </c>
      <c r="G55" s="153">
        <v>50.490699999999997</v>
      </c>
      <c r="H55" s="154">
        <v>54.531290347599999</v>
      </c>
      <c r="I55" s="154">
        <v>-109.102687343</v>
      </c>
      <c r="J55" s="155">
        <v>54.255035808700001</v>
      </c>
      <c r="K55" s="154">
        <v>-89.913254991200006</v>
      </c>
      <c r="L55" s="154">
        <v>-0.27625453889999818</v>
      </c>
      <c r="M55" s="138">
        <v>2</v>
      </c>
      <c r="N55" s="134">
        <v>15.71</v>
      </c>
      <c r="O55" s="134">
        <v>2</v>
      </c>
      <c r="P55" s="137" t="s">
        <v>564</v>
      </c>
      <c r="Q55" s="136"/>
      <c r="R55" s="131" t="s">
        <v>565</v>
      </c>
      <c r="S55" s="130" t="s">
        <v>558</v>
      </c>
      <c r="T55" s="131" t="s">
        <v>559</v>
      </c>
    </row>
    <row r="56" spans="1:20" x14ac:dyDescent="0.2">
      <c r="A56" s="130" t="s">
        <v>578</v>
      </c>
      <c r="B56" s="129" t="s">
        <v>60</v>
      </c>
      <c r="C56" s="130"/>
      <c r="D56" s="130" t="s">
        <v>577</v>
      </c>
      <c r="E56" s="153">
        <v>48.7</v>
      </c>
      <c r="F56" s="153">
        <v>-122.5</v>
      </c>
      <c r="G56" s="153">
        <v>50.490699999999997</v>
      </c>
      <c r="H56" s="154">
        <v>54.531290347599999</v>
      </c>
      <c r="I56" s="154">
        <v>-109.102687343</v>
      </c>
      <c r="J56" s="155">
        <v>54.255035808700001</v>
      </c>
      <c r="K56" s="154">
        <v>-89.913254991200006</v>
      </c>
      <c r="L56" s="154">
        <v>-0.27625453889999818</v>
      </c>
      <c r="M56" s="133">
        <v>2.1</v>
      </c>
      <c r="N56" s="134">
        <v>17</v>
      </c>
      <c r="O56" s="132">
        <v>2.1</v>
      </c>
      <c r="P56" s="137" t="s">
        <v>566</v>
      </c>
      <c r="Q56" s="136"/>
      <c r="R56" s="131" t="s">
        <v>567</v>
      </c>
      <c r="S56" s="130" t="s">
        <v>558</v>
      </c>
      <c r="T56" s="131" t="s">
        <v>568</v>
      </c>
    </row>
  </sheetData>
  <sortState xmlns:xlrd2="http://schemas.microsoft.com/office/spreadsheetml/2017/richdata2" ref="A6:U43">
    <sortCondition ref="P6:P43"/>
  </sortState>
  <mergeCells count="3">
    <mergeCell ref="H1:I1"/>
    <mergeCell ref="J1:K1"/>
    <mergeCell ref="M1:O1"/>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21"/>
  <sheetViews>
    <sheetView topLeftCell="F1" workbookViewId="0">
      <selection activeCell="I3" sqref="I3:T11"/>
    </sheetView>
  </sheetViews>
  <sheetFormatPr baseColWidth="10" defaultColWidth="11.5" defaultRowHeight="15" x14ac:dyDescent="0.2"/>
  <cols>
    <col min="1" max="1" width="18" customWidth="1"/>
    <col min="4" max="4" width="54.83203125" bestFit="1" customWidth="1"/>
    <col min="21" max="21" width="27.33203125" bestFit="1" customWidth="1"/>
  </cols>
  <sheetData>
    <row r="1" spans="1:22" ht="21" x14ac:dyDescent="0.25">
      <c r="A1" s="44" t="s">
        <v>243</v>
      </c>
      <c r="B1" s="45"/>
      <c r="C1" s="45"/>
      <c r="D1" s="45"/>
      <c r="E1" s="45"/>
      <c r="F1" s="44" t="s">
        <v>244</v>
      </c>
      <c r="G1" s="45"/>
      <c r="H1" s="45"/>
      <c r="I1" s="45"/>
      <c r="J1" s="45"/>
      <c r="K1" s="45"/>
      <c r="L1" s="45"/>
      <c r="M1" s="45"/>
      <c r="N1" s="45"/>
      <c r="O1" s="45"/>
      <c r="P1" s="45"/>
      <c r="Q1" s="45"/>
      <c r="R1" s="45"/>
      <c r="S1" s="45"/>
      <c r="T1" s="45"/>
      <c r="U1" s="45"/>
      <c r="V1" s="45"/>
    </row>
    <row r="2" spans="1:22" s="80" customFormat="1" ht="48" thickBot="1" x14ac:dyDescent="0.25">
      <c r="A2" s="89" t="s">
        <v>474</v>
      </c>
      <c r="B2" s="89" t="s">
        <v>367</v>
      </c>
      <c r="C2" s="113"/>
      <c r="D2" s="89" t="s">
        <v>0</v>
      </c>
      <c r="E2" s="63"/>
      <c r="F2" s="107" t="s">
        <v>484</v>
      </c>
      <c r="G2" s="107" t="s">
        <v>227</v>
      </c>
      <c r="H2" s="107" t="s">
        <v>228</v>
      </c>
      <c r="I2" s="107" t="s">
        <v>485</v>
      </c>
      <c r="J2" s="107" t="s">
        <v>486</v>
      </c>
      <c r="K2" s="107" t="s">
        <v>487</v>
      </c>
      <c r="L2" s="107" t="s">
        <v>488</v>
      </c>
      <c r="M2" s="107" t="s">
        <v>489</v>
      </c>
      <c r="N2" s="107" t="s">
        <v>490</v>
      </c>
      <c r="O2" s="107" t="s">
        <v>491</v>
      </c>
      <c r="P2" s="107" t="s">
        <v>492</v>
      </c>
      <c r="Q2" s="107" t="s">
        <v>225</v>
      </c>
      <c r="R2" s="107" t="s">
        <v>493</v>
      </c>
      <c r="S2" s="107" t="s">
        <v>226</v>
      </c>
      <c r="T2" s="107" t="s">
        <v>494</v>
      </c>
      <c r="U2" s="107" t="s">
        <v>495</v>
      </c>
      <c r="V2" s="107" t="s">
        <v>496</v>
      </c>
    </row>
    <row r="3" spans="1:22" x14ac:dyDescent="0.2">
      <c r="A3" s="110" t="s">
        <v>513</v>
      </c>
      <c r="B3" s="110" t="s">
        <v>515</v>
      </c>
      <c r="C3" s="112"/>
      <c r="D3" s="110" t="s">
        <v>524</v>
      </c>
      <c r="E3" s="45"/>
      <c r="F3" s="111">
        <v>11300597.265000001</v>
      </c>
      <c r="G3" s="111">
        <v>208297.21100000001</v>
      </c>
      <c r="H3" s="111">
        <v>156144.30100000001</v>
      </c>
      <c r="I3" s="111">
        <v>213951.16099999999</v>
      </c>
      <c r="J3" s="111">
        <v>272323.255</v>
      </c>
      <c r="K3" s="111">
        <v>0</v>
      </c>
      <c r="L3" s="111">
        <v>0</v>
      </c>
      <c r="M3" s="111">
        <v>0</v>
      </c>
      <c r="N3" s="111">
        <v>0</v>
      </c>
      <c r="O3" s="111">
        <v>0</v>
      </c>
      <c r="P3" s="111">
        <v>0</v>
      </c>
      <c r="Q3" s="111">
        <v>0</v>
      </c>
      <c r="R3" s="111">
        <v>0</v>
      </c>
      <c r="S3" s="111">
        <v>0</v>
      </c>
      <c r="T3" s="111">
        <v>0</v>
      </c>
      <c r="U3" s="105">
        <f>(F3+G3+H3)/(F3+G3+H3+I3+K3+M3+O3)</f>
        <v>0.98198911169075187</v>
      </c>
      <c r="V3" s="106">
        <f t="shared" ref="V3" si="0">52.18*U3-23.05</f>
        <v>28.190191848023435</v>
      </c>
    </row>
    <row r="4" spans="1:22" x14ac:dyDescent="0.2">
      <c r="A4" s="110" t="s">
        <v>513</v>
      </c>
      <c r="B4" s="110" t="s">
        <v>516</v>
      </c>
      <c r="C4" s="45"/>
      <c r="D4" s="110" t="s">
        <v>524</v>
      </c>
      <c r="E4" s="45"/>
      <c r="F4" s="111">
        <v>2473716.7289999998</v>
      </c>
      <c r="G4" s="111">
        <v>641813.32999999996</v>
      </c>
      <c r="H4" s="111">
        <v>11031.96</v>
      </c>
      <c r="I4" s="111">
        <v>23691.398000000001</v>
      </c>
      <c r="J4" s="111">
        <v>122693.258</v>
      </c>
      <c r="K4" s="111">
        <v>0</v>
      </c>
      <c r="L4" s="111">
        <v>0</v>
      </c>
      <c r="M4" s="111">
        <v>0</v>
      </c>
      <c r="N4" s="111">
        <v>0</v>
      </c>
      <c r="O4" s="111">
        <v>0</v>
      </c>
      <c r="P4" s="111">
        <v>0</v>
      </c>
      <c r="Q4" s="111">
        <v>0</v>
      </c>
      <c r="R4" s="111">
        <v>0</v>
      </c>
      <c r="S4" s="111">
        <v>0</v>
      </c>
      <c r="T4" s="111">
        <v>0</v>
      </c>
      <c r="U4" s="105">
        <f t="shared" ref="U4:U11" si="1">(F4+G4+H4)/(F4+G4+H4+I4+K4+M4+O4)</f>
        <v>0.99247952629075742</v>
      </c>
      <c r="V4" s="106">
        <f t="shared" ref="V4:V11" si="2">52.18*U4-23.05</f>
        <v>28.737581681851719</v>
      </c>
    </row>
    <row r="5" spans="1:22" x14ac:dyDescent="0.2">
      <c r="A5" s="110" t="s">
        <v>514</v>
      </c>
      <c r="B5" s="110" t="s">
        <v>517</v>
      </c>
      <c r="C5" s="45"/>
      <c r="D5" s="110" t="s">
        <v>75</v>
      </c>
      <c r="E5" s="45"/>
      <c r="F5" s="262">
        <v>34922634.214000002</v>
      </c>
      <c r="G5" s="262">
        <v>4043877.159</v>
      </c>
      <c r="H5" s="262">
        <v>61342.34</v>
      </c>
      <c r="I5" s="262">
        <v>319091.29100000003</v>
      </c>
      <c r="J5" s="262">
        <v>1133949.608</v>
      </c>
      <c r="K5" s="262">
        <v>0</v>
      </c>
      <c r="L5" s="262">
        <v>0</v>
      </c>
      <c r="M5" s="262">
        <v>0</v>
      </c>
      <c r="N5" s="262">
        <v>0</v>
      </c>
      <c r="O5" s="262">
        <v>0</v>
      </c>
      <c r="P5" s="262">
        <v>0</v>
      </c>
      <c r="Q5" s="262">
        <v>0</v>
      </c>
      <c r="R5" s="262">
        <v>0</v>
      </c>
      <c r="S5" s="262">
        <v>0</v>
      </c>
      <c r="T5" s="262">
        <v>0</v>
      </c>
      <c r="U5" s="263">
        <f t="shared" si="1"/>
        <v>0.99189031598342481</v>
      </c>
      <c r="V5" s="264">
        <f t="shared" si="2"/>
        <v>28.706836688015105</v>
      </c>
    </row>
    <row r="6" spans="1:22" x14ac:dyDescent="0.2">
      <c r="A6" s="110" t="s">
        <v>514</v>
      </c>
      <c r="B6" s="110" t="s">
        <v>518</v>
      </c>
      <c r="C6" s="45"/>
      <c r="D6" s="110" t="s">
        <v>75</v>
      </c>
      <c r="E6" s="45"/>
      <c r="F6" s="262">
        <v>15762716.329</v>
      </c>
      <c r="G6" s="262">
        <v>917504.08900000004</v>
      </c>
      <c r="H6" s="262">
        <v>107082.78599999999</v>
      </c>
      <c r="I6" s="262">
        <v>331968.56099999999</v>
      </c>
      <c r="J6" s="262">
        <v>262522.44199999998</v>
      </c>
      <c r="K6" s="262">
        <v>0</v>
      </c>
      <c r="L6" s="262">
        <v>0</v>
      </c>
      <c r="M6" s="262">
        <v>0</v>
      </c>
      <c r="N6" s="262">
        <v>0</v>
      </c>
      <c r="O6" s="262">
        <v>0</v>
      </c>
      <c r="P6" s="262">
        <v>0</v>
      </c>
      <c r="Q6" s="262">
        <v>0</v>
      </c>
      <c r="R6" s="262">
        <v>0</v>
      </c>
      <c r="S6" s="262">
        <v>0</v>
      </c>
      <c r="T6" s="262">
        <v>0</v>
      </c>
      <c r="U6" s="263">
        <f t="shared" si="1"/>
        <v>0.98060848816719504</v>
      </c>
      <c r="V6" s="264">
        <f t="shared" si="2"/>
        <v>28.118150912564236</v>
      </c>
    </row>
    <row r="7" spans="1:22" x14ac:dyDescent="0.2">
      <c r="A7" s="110" t="s">
        <v>514</v>
      </c>
      <c r="B7" s="110" t="s">
        <v>519</v>
      </c>
      <c r="C7" s="45"/>
      <c r="D7" s="110" t="s">
        <v>75</v>
      </c>
      <c r="E7" s="45"/>
      <c r="F7" s="262">
        <v>10036756.345000001</v>
      </c>
      <c r="G7" s="262">
        <v>1657103.58</v>
      </c>
      <c r="H7" s="262">
        <v>33934.544999999998</v>
      </c>
      <c r="I7" s="262">
        <v>133801.024</v>
      </c>
      <c r="J7" s="262">
        <v>408194.37599999999</v>
      </c>
      <c r="K7" s="262">
        <v>0</v>
      </c>
      <c r="L7" s="262">
        <v>0</v>
      </c>
      <c r="M7" s="262">
        <v>0</v>
      </c>
      <c r="N7" s="262">
        <v>0</v>
      </c>
      <c r="O7" s="262">
        <v>0</v>
      </c>
      <c r="P7" s="262">
        <v>0</v>
      </c>
      <c r="Q7" s="262">
        <v>0</v>
      </c>
      <c r="R7" s="262">
        <v>0</v>
      </c>
      <c r="S7" s="262">
        <v>0</v>
      </c>
      <c r="T7" s="262">
        <v>0</v>
      </c>
      <c r="U7" s="263">
        <f t="shared" si="1"/>
        <v>0.98871981226575456</v>
      </c>
      <c r="V7" s="264">
        <f t="shared" si="2"/>
        <v>28.541399804027069</v>
      </c>
    </row>
    <row r="8" spans="1:22" x14ac:dyDescent="0.2">
      <c r="A8" s="110" t="s">
        <v>200</v>
      </c>
      <c r="B8" s="110" t="s">
        <v>522</v>
      </c>
      <c r="C8" s="45"/>
      <c r="D8" s="110" t="s">
        <v>524</v>
      </c>
      <c r="E8" s="45"/>
      <c r="F8" s="111">
        <v>11823486.593</v>
      </c>
      <c r="G8" s="111">
        <v>789075.21499999997</v>
      </c>
      <c r="H8" s="111">
        <v>72792.63</v>
      </c>
      <c r="I8" s="111">
        <v>59891.718999999997</v>
      </c>
      <c r="J8" s="111">
        <v>277230.614</v>
      </c>
      <c r="K8" s="111">
        <v>0</v>
      </c>
      <c r="L8" s="111">
        <v>0</v>
      </c>
      <c r="M8" s="111">
        <v>0</v>
      </c>
      <c r="N8" s="111">
        <v>0</v>
      </c>
      <c r="O8" s="111">
        <v>0</v>
      </c>
      <c r="P8" s="111">
        <v>0</v>
      </c>
      <c r="Q8" s="111">
        <v>0</v>
      </c>
      <c r="R8" s="111">
        <v>0</v>
      </c>
      <c r="S8" s="111">
        <v>0</v>
      </c>
      <c r="T8" s="111">
        <v>0</v>
      </c>
      <c r="U8" s="105">
        <f t="shared" si="1"/>
        <v>0.99530085819746161</v>
      </c>
      <c r="V8" s="106">
        <f t="shared" si="2"/>
        <v>28.884798780743548</v>
      </c>
    </row>
    <row r="9" spans="1:22" x14ac:dyDescent="0.2">
      <c r="A9" s="110" t="s">
        <v>204</v>
      </c>
      <c r="B9" s="110" t="s">
        <v>520</v>
      </c>
      <c r="C9" s="45"/>
      <c r="D9" s="110" t="s">
        <v>525</v>
      </c>
      <c r="E9" s="45"/>
      <c r="F9" s="308">
        <v>44035725.517999999</v>
      </c>
      <c r="G9" s="308">
        <v>6450948.7970000003</v>
      </c>
      <c r="H9" s="308">
        <v>152756.505</v>
      </c>
      <c r="I9" s="308">
        <v>201399.799</v>
      </c>
      <c r="J9" s="308">
        <v>2374528.4440000001</v>
      </c>
      <c r="K9" s="308">
        <v>0</v>
      </c>
      <c r="L9" s="308">
        <v>0</v>
      </c>
      <c r="M9" s="308">
        <v>0</v>
      </c>
      <c r="N9" s="308">
        <v>0</v>
      </c>
      <c r="O9" s="308">
        <v>0</v>
      </c>
      <c r="P9" s="308">
        <v>0</v>
      </c>
      <c r="Q9" s="308">
        <v>0</v>
      </c>
      <c r="R9" s="308">
        <v>0</v>
      </c>
      <c r="S9" s="308">
        <v>0</v>
      </c>
      <c r="T9" s="308">
        <v>0</v>
      </c>
      <c r="U9" s="309">
        <f>(F9+G9+H9)/(F9+G9+H9+I9+K9+M9+O9)</f>
        <v>0.99603862099521367</v>
      </c>
      <c r="V9" s="310">
        <f>52.18*U9-23.05</f>
        <v>28.923295243530251</v>
      </c>
    </row>
    <row r="10" spans="1:22" x14ac:dyDescent="0.2">
      <c r="A10" s="110" t="s">
        <v>204</v>
      </c>
      <c r="B10" s="110" t="s">
        <v>521</v>
      </c>
      <c r="C10" s="45"/>
      <c r="D10" s="110" t="s">
        <v>525</v>
      </c>
      <c r="E10" s="45"/>
      <c r="F10" s="308">
        <v>10444038.460999999</v>
      </c>
      <c r="G10" s="308">
        <v>1877099.4280000001</v>
      </c>
      <c r="H10" s="308">
        <v>150469.106</v>
      </c>
      <c r="I10" s="308">
        <v>183897.96299999999</v>
      </c>
      <c r="J10" s="308">
        <v>546125.95299999998</v>
      </c>
      <c r="K10" s="308">
        <v>0</v>
      </c>
      <c r="L10" s="308">
        <v>0</v>
      </c>
      <c r="M10" s="308">
        <v>0</v>
      </c>
      <c r="N10" s="308">
        <v>0</v>
      </c>
      <c r="O10" s="308">
        <v>0</v>
      </c>
      <c r="P10" s="308">
        <v>0</v>
      </c>
      <c r="Q10" s="308">
        <v>0</v>
      </c>
      <c r="R10" s="308">
        <v>0</v>
      </c>
      <c r="S10" s="308">
        <v>0</v>
      </c>
      <c r="T10" s="308">
        <v>0</v>
      </c>
      <c r="U10" s="309">
        <f>(F10+G10+H10)/(F10+G10+H10+I10+K10+M10+O10)</f>
        <v>0.98546893517008571</v>
      </c>
      <c r="V10" s="310">
        <f>52.18*U10-23.05</f>
        <v>28.371769037175074</v>
      </c>
    </row>
    <row r="11" spans="1:22" x14ac:dyDescent="0.2">
      <c r="A11" s="110" t="s">
        <v>203</v>
      </c>
      <c r="B11" s="110" t="s">
        <v>523</v>
      </c>
      <c r="C11" s="45"/>
      <c r="D11" s="110" t="s">
        <v>525</v>
      </c>
      <c r="E11" s="45"/>
      <c r="F11" s="308">
        <v>37708150.221000001</v>
      </c>
      <c r="G11" s="308">
        <v>2486270.233</v>
      </c>
      <c r="H11" s="308">
        <v>261105.54399999999</v>
      </c>
      <c r="I11" s="308">
        <v>870185.84400000004</v>
      </c>
      <c r="J11" s="308">
        <v>927255.04000000004</v>
      </c>
      <c r="K11" s="308">
        <v>0</v>
      </c>
      <c r="L11" s="308">
        <v>0</v>
      </c>
      <c r="M11" s="308">
        <v>0</v>
      </c>
      <c r="N11" s="308">
        <v>0</v>
      </c>
      <c r="O11" s="308">
        <v>0</v>
      </c>
      <c r="P11" s="308">
        <v>0</v>
      </c>
      <c r="Q11" s="308">
        <v>0</v>
      </c>
      <c r="R11" s="308">
        <v>0</v>
      </c>
      <c r="S11" s="308">
        <v>0</v>
      </c>
      <c r="T11" s="308">
        <v>0</v>
      </c>
      <c r="U11" s="309">
        <f t="shared" si="1"/>
        <v>0.97894323400097827</v>
      </c>
      <c r="V11" s="310">
        <f t="shared" si="2"/>
        <v>28.031257950171042</v>
      </c>
    </row>
    <row r="12" spans="1:22" ht="16" thickBot="1" x14ac:dyDescent="0.25"/>
    <row r="13" spans="1:22" x14ac:dyDescent="0.2">
      <c r="P13" s="269"/>
      <c r="Q13" s="270" t="s">
        <v>666</v>
      </c>
      <c r="R13" s="271" t="s">
        <v>667</v>
      </c>
      <c r="S13" s="270" t="s">
        <v>672</v>
      </c>
      <c r="T13" s="270" t="s">
        <v>189</v>
      </c>
      <c r="U13" s="270" t="s">
        <v>673</v>
      </c>
      <c r="V13" s="272" t="s">
        <v>668</v>
      </c>
    </row>
    <row r="14" spans="1:22" x14ac:dyDescent="0.2">
      <c r="P14" s="273" t="s">
        <v>602</v>
      </c>
      <c r="Q14" s="274">
        <f>COUNT(V5:V7)</f>
        <v>3</v>
      </c>
      <c r="R14" s="284">
        <f>MIN(V5:V7)</f>
        <v>28.118150912564236</v>
      </c>
      <c r="S14" s="284">
        <f>T14-(_xlfn.STDEV.P(V5:V7))</f>
        <v>28.207569137888388</v>
      </c>
      <c r="T14" s="284">
        <f>AVERAGE(V5:V7)</f>
        <v>28.455462468202139</v>
      </c>
      <c r="U14" s="284">
        <f>T14+(_xlfn.STDEV.P(V5:V7))</f>
        <v>28.70335579851589</v>
      </c>
      <c r="V14" s="285">
        <f>MAX(V5:V7)</f>
        <v>28.706836688015105</v>
      </c>
    </row>
    <row r="15" spans="1:22" x14ac:dyDescent="0.2">
      <c r="P15" s="273" t="s">
        <v>43</v>
      </c>
      <c r="Q15" s="274"/>
      <c r="R15" s="284"/>
      <c r="S15" s="284"/>
      <c r="T15" s="284"/>
      <c r="U15" s="284"/>
      <c r="V15" s="285"/>
    </row>
    <row r="16" spans="1:22" x14ac:dyDescent="0.2">
      <c r="P16" s="273" t="s">
        <v>186</v>
      </c>
      <c r="Q16" s="274">
        <f>COUNT(V9:V11)</f>
        <v>3</v>
      </c>
      <c r="R16" s="284">
        <f>MIN(V9:V11)</f>
        <v>28.031257950171042</v>
      </c>
      <c r="S16" s="284">
        <f>T16-(_xlfn.STDEV.P(V9:V11))</f>
        <v>28.074554014411135</v>
      </c>
      <c r="T16" s="284">
        <f>AVERAGE(V9:V11)</f>
        <v>28.442107410292124</v>
      </c>
      <c r="U16" s="284">
        <f>T16+(_xlfn.STDEV.P(V9:V11))</f>
        <v>28.809660806173113</v>
      </c>
      <c r="V16" s="285">
        <f>MAX(V9:V11)</f>
        <v>28.923295243530251</v>
      </c>
    </row>
    <row r="17" spans="16:22" x14ac:dyDescent="0.2">
      <c r="P17" s="273"/>
      <c r="Q17" s="277"/>
      <c r="R17" s="284"/>
      <c r="S17" s="284"/>
      <c r="T17" s="286"/>
      <c r="U17" s="284"/>
      <c r="V17" s="287"/>
    </row>
    <row r="18" spans="16:22" x14ac:dyDescent="0.2">
      <c r="P18" s="273"/>
      <c r="Q18" s="277"/>
      <c r="R18" s="275"/>
      <c r="S18" s="279"/>
      <c r="T18" s="279"/>
      <c r="U18" s="279"/>
      <c r="V18" s="278"/>
    </row>
    <row r="19" spans="16:22" x14ac:dyDescent="0.2">
      <c r="P19" s="273" t="s">
        <v>602</v>
      </c>
      <c r="Q19" s="274">
        <f t="shared" ref="Q19:Q21" si="3">Q14</f>
        <v>3</v>
      </c>
      <c r="R19" s="275" t="str">
        <f>FIXED(R14,2)</f>
        <v>28.12</v>
      </c>
      <c r="S19" s="275" t="str">
        <f t="shared" ref="S19:V21" si="4">FIXED(S14,2)</f>
        <v>28.21</v>
      </c>
      <c r="T19" s="275" t="str">
        <f t="shared" si="4"/>
        <v>28.46</v>
      </c>
      <c r="U19" s="275" t="str">
        <f t="shared" si="4"/>
        <v>28.70</v>
      </c>
      <c r="V19" s="276" t="str">
        <f t="shared" si="4"/>
        <v>28.71</v>
      </c>
    </row>
    <row r="20" spans="16:22" x14ac:dyDescent="0.2">
      <c r="P20" s="273" t="s">
        <v>43</v>
      </c>
      <c r="Q20" s="274"/>
      <c r="R20" s="275"/>
      <c r="S20" s="275"/>
      <c r="T20" s="275"/>
      <c r="U20" s="275"/>
      <c r="V20" s="276"/>
    </row>
    <row r="21" spans="16:22" ht="16" thickBot="1" x14ac:dyDescent="0.25">
      <c r="P21" s="280" t="s">
        <v>186</v>
      </c>
      <c r="Q21" s="281">
        <f t="shared" si="3"/>
        <v>3</v>
      </c>
      <c r="R21" s="282" t="str">
        <f>FIXED(R16,2)</f>
        <v>28.03</v>
      </c>
      <c r="S21" s="282" t="str">
        <f t="shared" si="4"/>
        <v>28.07</v>
      </c>
      <c r="T21" s="282" t="str">
        <f t="shared" si="4"/>
        <v>28.44</v>
      </c>
      <c r="U21" s="282" t="str">
        <f t="shared" si="4"/>
        <v>28.81</v>
      </c>
      <c r="V21" s="283" t="str">
        <f t="shared" si="4"/>
        <v>28.92</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M26"/>
  <sheetViews>
    <sheetView workbookViewId="0">
      <selection activeCell="A30" sqref="A30"/>
    </sheetView>
  </sheetViews>
  <sheetFormatPr baseColWidth="10" defaultColWidth="8.83203125" defaultRowHeight="15" x14ac:dyDescent="0.2"/>
  <cols>
    <col min="2" max="2" width="13.1640625" customWidth="1"/>
    <col min="3" max="11" width="8.83203125" style="3"/>
  </cols>
  <sheetData>
    <row r="1" spans="2:13" x14ac:dyDescent="0.2">
      <c r="B1" t="s">
        <v>866</v>
      </c>
    </row>
    <row r="2" spans="2:13" x14ac:dyDescent="0.2">
      <c r="B2" t="s">
        <v>19</v>
      </c>
    </row>
    <row r="4" spans="2:13" x14ac:dyDescent="0.2">
      <c r="B4" t="s">
        <v>367</v>
      </c>
      <c r="C4" s="3" t="s">
        <v>809</v>
      </c>
      <c r="D4" s="3" t="s">
        <v>0</v>
      </c>
      <c r="E4" s="3" t="s">
        <v>185</v>
      </c>
      <c r="F4" s="3" t="s">
        <v>857</v>
      </c>
      <c r="G4" s="3" t="s">
        <v>836</v>
      </c>
      <c r="H4" s="3" t="s">
        <v>835</v>
      </c>
      <c r="I4" s="3" t="s">
        <v>859</v>
      </c>
      <c r="J4" s="3" t="s">
        <v>858</v>
      </c>
      <c r="K4" s="3" t="s">
        <v>624</v>
      </c>
      <c r="M4" s="20" t="s">
        <v>860</v>
      </c>
    </row>
    <row r="5" spans="2:13" x14ac:dyDescent="0.2">
      <c r="B5" t="s">
        <v>856</v>
      </c>
      <c r="C5" s="33">
        <v>112.4</v>
      </c>
      <c r="D5" s="33"/>
      <c r="E5" s="33"/>
      <c r="F5" s="33"/>
      <c r="G5" s="33"/>
      <c r="H5" s="33"/>
      <c r="I5" s="33"/>
      <c r="J5" s="33"/>
      <c r="M5" s="20" t="s">
        <v>861</v>
      </c>
    </row>
    <row r="6" spans="2:13" x14ac:dyDescent="0.2">
      <c r="B6" t="s">
        <v>855</v>
      </c>
      <c r="C6" s="33">
        <v>112</v>
      </c>
      <c r="D6" s="33" t="s">
        <v>863</v>
      </c>
      <c r="E6" s="33" t="s">
        <v>602</v>
      </c>
      <c r="F6" s="302">
        <v>86.9</v>
      </c>
      <c r="G6" s="302">
        <v>0.32</v>
      </c>
      <c r="H6" s="302">
        <v>56</v>
      </c>
      <c r="I6" s="302">
        <v>11.5</v>
      </c>
      <c r="J6" s="302">
        <v>10.4</v>
      </c>
      <c r="K6" s="292">
        <v>1224</v>
      </c>
      <c r="M6" s="20" t="s">
        <v>862</v>
      </c>
    </row>
    <row r="7" spans="2:13" x14ac:dyDescent="0.2">
      <c r="B7" t="s">
        <v>854</v>
      </c>
      <c r="C7" s="33">
        <v>103.5</v>
      </c>
      <c r="D7" s="33"/>
      <c r="E7" s="33" t="s">
        <v>602</v>
      </c>
      <c r="F7" s="302"/>
      <c r="G7" s="302"/>
      <c r="H7" s="302"/>
      <c r="I7" s="302"/>
      <c r="J7" s="302"/>
      <c r="K7" s="292"/>
    </row>
    <row r="8" spans="2:13" x14ac:dyDescent="0.2">
      <c r="B8" t="s">
        <v>853</v>
      </c>
      <c r="C8" s="33">
        <v>103</v>
      </c>
      <c r="D8" s="33"/>
      <c r="E8" s="33" t="s">
        <v>602</v>
      </c>
      <c r="F8" s="302">
        <v>86.8</v>
      </c>
      <c r="G8" s="302">
        <v>0.27</v>
      </c>
      <c r="H8" s="302">
        <v>23.3</v>
      </c>
      <c r="I8" s="302">
        <v>12.3</v>
      </c>
      <c r="J8" s="302">
        <v>12.8</v>
      </c>
      <c r="K8" s="292">
        <v>1222</v>
      </c>
    </row>
    <row r="9" spans="2:13" x14ac:dyDescent="0.2">
      <c r="B9" t="s">
        <v>852</v>
      </c>
      <c r="C9" s="33">
        <v>102.5</v>
      </c>
      <c r="D9" s="33"/>
      <c r="E9" s="33" t="s">
        <v>602</v>
      </c>
      <c r="F9" s="302"/>
      <c r="G9" s="302"/>
      <c r="H9" s="302"/>
      <c r="I9" s="302"/>
      <c r="J9" s="302"/>
      <c r="K9" s="292"/>
    </row>
    <row r="10" spans="2:13" x14ac:dyDescent="0.2">
      <c r="B10" t="s">
        <v>851</v>
      </c>
      <c r="C10" s="33">
        <v>99.5</v>
      </c>
      <c r="D10" s="33"/>
      <c r="E10" s="33" t="s">
        <v>602</v>
      </c>
      <c r="F10" s="302"/>
      <c r="G10" s="302"/>
      <c r="H10" s="302"/>
      <c r="I10" s="302"/>
      <c r="J10" s="302"/>
      <c r="K10" s="292"/>
    </row>
    <row r="11" spans="2:13" x14ac:dyDescent="0.2">
      <c r="B11" t="s">
        <v>850</v>
      </c>
      <c r="C11" s="33">
        <v>99</v>
      </c>
      <c r="D11" s="33"/>
      <c r="E11" s="33" t="s">
        <v>602</v>
      </c>
      <c r="F11" s="302">
        <v>87.6</v>
      </c>
      <c r="G11" s="302">
        <v>0.32</v>
      </c>
      <c r="H11" s="302">
        <v>29.6</v>
      </c>
      <c r="I11" s="302">
        <v>11.3</v>
      </c>
      <c r="J11" s="302">
        <v>12.1</v>
      </c>
      <c r="K11" s="292">
        <v>1242</v>
      </c>
    </row>
    <row r="12" spans="2:13" x14ac:dyDescent="0.2">
      <c r="B12" t="s">
        <v>849</v>
      </c>
      <c r="C12" s="33">
        <v>98.5</v>
      </c>
      <c r="D12" s="33"/>
      <c r="E12" s="33" t="s">
        <v>602</v>
      </c>
      <c r="F12" s="302"/>
      <c r="G12" s="302"/>
      <c r="H12" s="302"/>
      <c r="I12" s="302"/>
      <c r="J12" s="302"/>
      <c r="K12" s="292"/>
    </row>
    <row r="13" spans="2:13" x14ac:dyDescent="0.2">
      <c r="B13" t="s">
        <v>848</v>
      </c>
      <c r="C13" s="33">
        <v>72.900000000000006</v>
      </c>
      <c r="D13" s="33"/>
      <c r="E13" s="33" t="s">
        <v>602</v>
      </c>
      <c r="F13" s="302"/>
      <c r="G13" s="302"/>
      <c r="H13" s="302"/>
      <c r="I13" s="302"/>
      <c r="J13" s="302"/>
      <c r="K13" s="292"/>
    </row>
    <row r="14" spans="2:13" x14ac:dyDescent="0.2">
      <c r="B14" t="s">
        <v>847</v>
      </c>
      <c r="C14" s="33">
        <v>72.5</v>
      </c>
      <c r="D14" s="33"/>
      <c r="E14" s="33" t="s">
        <v>602</v>
      </c>
      <c r="F14" s="302">
        <v>74.900000000000006</v>
      </c>
      <c r="G14" s="302">
        <v>0.44</v>
      </c>
      <c r="H14" s="302">
        <v>47.4</v>
      </c>
      <c r="I14" s="302">
        <v>9.1999999999999993</v>
      </c>
      <c r="J14" s="302">
        <v>10.8</v>
      </c>
      <c r="K14" s="292">
        <v>966</v>
      </c>
    </row>
    <row r="15" spans="2:13" x14ac:dyDescent="0.2">
      <c r="B15" t="s">
        <v>846</v>
      </c>
      <c r="C15" s="33">
        <v>58.8</v>
      </c>
      <c r="D15" s="33"/>
      <c r="E15" s="33" t="s">
        <v>602</v>
      </c>
      <c r="F15" s="302"/>
      <c r="G15" s="302"/>
      <c r="H15" s="302"/>
      <c r="I15" s="302"/>
      <c r="J15" s="302"/>
      <c r="K15" s="292"/>
    </row>
    <row r="16" spans="2:13" x14ac:dyDescent="0.2">
      <c r="B16" t="s">
        <v>845</v>
      </c>
      <c r="C16" s="33">
        <v>58.5</v>
      </c>
      <c r="D16" s="33"/>
      <c r="E16" s="33" t="s">
        <v>602</v>
      </c>
      <c r="F16" s="302">
        <v>73.2</v>
      </c>
      <c r="G16" s="302">
        <v>0.53</v>
      </c>
      <c r="H16" s="302">
        <v>61.7</v>
      </c>
      <c r="I16" s="302">
        <v>7.5</v>
      </c>
      <c r="J16" s="302">
        <v>10.1</v>
      </c>
      <c r="K16" s="292">
        <v>934</v>
      </c>
    </row>
    <row r="17" spans="2:11" x14ac:dyDescent="0.2">
      <c r="B17" t="s">
        <v>844</v>
      </c>
      <c r="C17" s="33">
        <v>56</v>
      </c>
      <c r="D17" s="33"/>
      <c r="E17" s="33" t="s">
        <v>602</v>
      </c>
      <c r="F17" s="302"/>
      <c r="G17" s="302"/>
      <c r="H17" s="302"/>
      <c r="I17" s="302"/>
      <c r="J17" s="302"/>
      <c r="K17" s="292"/>
    </row>
    <row r="18" spans="2:11" x14ac:dyDescent="0.2">
      <c r="B18" t="s">
        <v>843</v>
      </c>
      <c r="C18" s="33">
        <v>55.7</v>
      </c>
      <c r="D18" s="33"/>
      <c r="E18" s="33" t="s">
        <v>602</v>
      </c>
      <c r="F18" s="302">
        <v>75.099999999999994</v>
      </c>
      <c r="G18" s="302">
        <v>0.52</v>
      </c>
      <c r="H18" s="302">
        <v>57.9</v>
      </c>
      <c r="I18" s="302">
        <v>7.7</v>
      </c>
      <c r="J18" s="302">
        <v>10.3</v>
      </c>
      <c r="K18" s="292">
        <v>969</v>
      </c>
    </row>
    <row r="19" spans="2:11" x14ac:dyDescent="0.2">
      <c r="B19" t="s">
        <v>842</v>
      </c>
      <c r="C19" s="33">
        <v>55.5</v>
      </c>
      <c r="D19" s="33"/>
      <c r="E19" s="33" t="s">
        <v>602</v>
      </c>
      <c r="F19" s="302"/>
      <c r="G19" s="302"/>
      <c r="H19" s="302"/>
      <c r="I19" s="302"/>
      <c r="J19" s="302"/>
      <c r="K19" s="292"/>
    </row>
    <row r="20" spans="2:11" x14ac:dyDescent="0.2">
      <c r="B20" t="s">
        <v>841</v>
      </c>
      <c r="C20" s="33">
        <v>20.5</v>
      </c>
      <c r="D20" s="33"/>
      <c r="E20" s="33" t="s">
        <v>602</v>
      </c>
      <c r="F20" s="302"/>
      <c r="G20" s="302"/>
      <c r="H20" s="302"/>
      <c r="I20" s="302"/>
      <c r="J20" s="302"/>
      <c r="K20" s="292"/>
    </row>
    <row r="21" spans="2:11" x14ac:dyDescent="0.2">
      <c r="B21" t="s">
        <v>840</v>
      </c>
      <c r="C21" s="33">
        <v>20</v>
      </c>
      <c r="D21" s="33" t="s">
        <v>864</v>
      </c>
      <c r="E21" s="33" t="s">
        <v>602</v>
      </c>
      <c r="F21" s="302">
        <v>69.8</v>
      </c>
      <c r="G21" s="302">
        <v>0.55000000000000004</v>
      </c>
      <c r="H21" s="302">
        <v>57.1</v>
      </c>
      <c r="I21" s="302">
        <v>7.2</v>
      </c>
      <c r="J21" s="302">
        <v>10.3</v>
      </c>
      <c r="K21" s="292">
        <v>874</v>
      </c>
    </row>
    <row r="22" spans="2:11" x14ac:dyDescent="0.2">
      <c r="B22" t="s">
        <v>839</v>
      </c>
      <c r="C22" s="33">
        <v>13</v>
      </c>
      <c r="D22" s="33"/>
      <c r="E22" s="33"/>
      <c r="F22" s="33"/>
      <c r="G22" s="33"/>
      <c r="H22" s="33"/>
      <c r="I22" s="33"/>
      <c r="J22" s="33"/>
    </row>
    <row r="23" spans="2:11" x14ac:dyDescent="0.2">
      <c r="B23" t="s">
        <v>838</v>
      </c>
      <c r="C23" s="33">
        <v>12.5</v>
      </c>
      <c r="D23" s="33"/>
      <c r="E23" s="33"/>
      <c r="F23" s="33">
        <v>59</v>
      </c>
      <c r="G23" s="33">
        <v>0.59</v>
      </c>
      <c r="H23" s="33">
        <v>66</v>
      </c>
      <c r="I23" s="33">
        <v>6.4</v>
      </c>
      <c r="J23" s="33">
        <v>9.9</v>
      </c>
      <c r="K23" s="3">
        <v>706</v>
      </c>
    </row>
    <row r="24" spans="2:11" x14ac:dyDescent="0.2">
      <c r="B24" t="s">
        <v>837</v>
      </c>
      <c r="C24" s="33">
        <v>-10</v>
      </c>
      <c r="D24" s="33"/>
      <c r="E24" s="33"/>
      <c r="F24" s="33">
        <v>62.5</v>
      </c>
      <c r="G24" s="33">
        <v>0.6</v>
      </c>
      <c r="H24" s="33">
        <v>66.400000000000006</v>
      </c>
      <c r="I24" s="33">
        <v>6.2</v>
      </c>
      <c r="J24" s="33">
        <v>9.9</v>
      </c>
      <c r="K24" s="3">
        <v>758</v>
      </c>
    </row>
    <row r="26" spans="2:11" x14ac:dyDescent="0.2">
      <c r="E26" s="3" t="s">
        <v>865</v>
      </c>
      <c r="I26" s="33">
        <f>AVERAGE(I6:I21)</f>
        <v>9.5285714285714285</v>
      </c>
      <c r="J26" s="33">
        <f>AVERAGE(J6:J21)</f>
        <v>10.971428571428573</v>
      </c>
      <c r="K26" s="33">
        <f>AVERAGE(K6:K21)</f>
        <v>1061.5714285714287</v>
      </c>
    </row>
  </sheetData>
  <sortState xmlns:xlrd2="http://schemas.microsoft.com/office/spreadsheetml/2017/richdata2" ref="B5:K24">
    <sortCondition descending="1" ref="C5:C24"/>
  </sortState>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3"/>
  <sheetViews>
    <sheetView workbookViewId="0">
      <pane ySplit="2" topLeftCell="A40" activePane="bottomLeft" state="frozen"/>
      <selection pane="bottomLeft" activeCell="E2" sqref="E2:K43"/>
    </sheetView>
  </sheetViews>
  <sheetFormatPr baseColWidth="10" defaultColWidth="11.5" defaultRowHeight="15" x14ac:dyDescent="0.2"/>
  <cols>
    <col min="1" max="1" width="7.6640625" customWidth="1"/>
    <col min="2" max="2" width="8.1640625" bestFit="1" customWidth="1"/>
    <col min="3" max="3" width="5.6640625" bestFit="1" customWidth="1"/>
    <col min="13" max="13" width="27.33203125" bestFit="1" customWidth="1"/>
    <col min="14" max="14" width="23.6640625" bestFit="1" customWidth="1"/>
  </cols>
  <sheetData>
    <row r="1" spans="1:20" ht="21" x14ac:dyDescent="0.25">
      <c r="A1" s="44" t="s">
        <v>243</v>
      </c>
      <c r="E1" s="44" t="s">
        <v>244</v>
      </c>
    </row>
    <row r="2" spans="1:20" s="93" customFormat="1" ht="96" thickBot="1" x14ac:dyDescent="0.25">
      <c r="A2" s="89" t="s">
        <v>367</v>
      </c>
      <c r="B2" s="89" t="s">
        <v>413</v>
      </c>
      <c r="C2" s="90" t="s">
        <v>412</v>
      </c>
      <c r="D2" s="91"/>
      <c r="E2" s="94" t="s">
        <v>414</v>
      </c>
      <c r="F2" s="92" t="s">
        <v>416</v>
      </c>
      <c r="G2" s="94" t="s">
        <v>417</v>
      </c>
      <c r="H2" s="94" t="s">
        <v>368</v>
      </c>
      <c r="I2" s="94" t="s">
        <v>415</v>
      </c>
      <c r="J2" s="94" t="s">
        <v>369</v>
      </c>
      <c r="K2" s="94" t="s">
        <v>370</v>
      </c>
      <c r="L2" s="92" t="s">
        <v>212</v>
      </c>
      <c r="M2" s="92" t="s">
        <v>229</v>
      </c>
      <c r="N2" s="62" t="s">
        <v>218</v>
      </c>
    </row>
    <row r="3" spans="1:20" x14ac:dyDescent="0.2">
      <c r="A3" s="3" t="s">
        <v>371</v>
      </c>
      <c r="B3" s="3">
        <v>123.11</v>
      </c>
      <c r="C3" s="32">
        <v>42</v>
      </c>
      <c r="D3" s="35"/>
      <c r="E3" s="88">
        <v>9.492469307682572E-3</v>
      </c>
      <c r="F3" s="88">
        <v>2.5756233388178711E-2</v>
      </c>
      <c r="G3" s="88">
        <v>9.5557524364004564E-3</v>
      </c>
      <c r="H3" s="88">
        <v>2.4870269586128339E-3</v>
      </c>
      <c r="I3" s="88">
        <v>8.4166561194785466E-2</v>
      </c>
      <c r="J3" s="88">
        <v>9.8721680799898747E-3</v>
      </c>
      <c r="K3" s="88">
        <v>4.3475509429186177E-3</v>
      </c>
      <c r="L3" s="32">
        <f t="shared" ref="L3:L43" si="0">-LOG((J3+G3)/(I3+F3))</f>
        <v>0.75266144296991211</v>
      </c>
      <c r="M3" s="32">
        <f t="shared" ref="M3:M43" si="1">(I3+J3+K3)/SUM(E3:K3)</f>
        <v>0.67536924413553445</v>
      </c>
      <c r="N3" s="33">
        <f>0.81-L3*5.67+31*M3</f>
        <v>17.478856186562165</v>
      </c>
      <c r="O3" s="81"/>
      <c r="P3" s="81"/>
      <c r="Q3" s="81"/>
      <c r="R3" s="81"/>
      <c r="S3" s="81"/>
      <c r="T3" s="81"/>
    </row>
    <row r="4" spans="1:20" x14ac:dyDescent="0.2">
      <c r="A4" s="3" t="s">
        <v>372</v>
      </c>
      <c r="B4" s="3">
        <v>113.06</v>
      </c>
      <c r="C4" s="32">
        <v>45.7834</v>
      </c>
      <c r="D4" s="35"/>
      <c r="E4" s="84">
        <v>5.9924201837410953E-3</v>
      </c>
      <c r="F4" s="84">
        <v>1.5973173006329743E-2</v>
      </c>
      <c r="G4" s="84">
        <v>7.4409191023275196E-3</v>
      </c>
      <c r="H4" s="84">
        <v>2.3612516618052664E-3</v>
      </c>
      <c r="I4" s="84">
        <v>0.10099807528225886</v>
      </c>
      <c r="J4" s="84">
        <v>1.3234914776673214E-2</v>
      </c>
      <c r="K4" s="84">
        <v>6.7265908685040779E-3</v>
      </c>
      <c r="L4" s="32">
        <f t="shared" si="0"/>
        <v>0.75261609046760225</v>
      </c>
      <c r="M4" s="32">
        <f t="shared" si="1"/>
        <v>0.79199688190203976</v>
      </c>
      <c r="N4" s="33">
        <f t="shared" ref="N4:N43" si="2">0.81-L4*5.67+31*M4</f>
        <v>21.094570106011929</v>
      </c>
      <c r="O4" s="81"/>
      <c r="P4" s="81"/>
      <c r="Q4" s="81"/>
      <c r="R4" s="81"/>
      <c r="S4" s="81"/>
      <c r="T4" s="81"/>
    </row>
    <row r="5" spans="1:20" x14ac:dyDescent="0.2">
      <c r="A5" s="3" t="s">
        <v>373</v>
      </c>
      <c r="B5" s="3">
        <v>109.71</v>
      </c>
      <c r="C5" s="32">
        <v>46.151900000000005</v>
      </c>
      <c r="D5" s="35"/>
      <c r="E5" s="84">
        <v>5.3329259065246493E-3</v>
      </c>
      <c r="F5" s="84">
        <v>1.8916244688900529E-2</v>
      </c>
      <c r="G5" s="84">
        <v>6.5624818113031837E-3</v>
      </c>
      <c r="H5" s="84">
        <v>2.211745532856062E-3</v>
      </c>
      <c r="I5" s="84">
        <v>9.749141493510273E-2</v>
      </c>
      <c r="J5" s="84">
        <v>1.2222804260520342E-2</v>
      </c>
      <c r="K5" s="84">
        <v>6.0313718642686686E-3</v>
      </c>
      <c r="L5" s="32">
        <f t="shared" si="0"/>
        <v>0.79216374472552331</v>
      </c>
      <c r="M5" s="32">
        <f t="shared" si="1"/>
        <v>0.77802230046948373</v>
      </c>
      <c r="N5" s="33">
        <f t="shared" si="2"/>
        <v>20.437122881960278</v>
      </c>
      <c r="O5" s="81"/>
      <c r="P5" s="81"/>
      <c r="Q5" s="81"/>
      <c r="R5" s="81"/>
      <c r="S5" s="81"/>
      <c r="T5" s="81"/>
    </row>
    <row r="6" spans="1:20" x14ac:dyDescent="0.2">
      <c r="A6" s="3" t="s">
        <v>374</v>
      </c>
      <c r="B6" s="3">
        <v>106.4</v>
      </c>
      <c r="C6" s="32">
        <v>46.516000000000005</v>
      </c>
      <c r="D6" s="35"/>
      <c r="E6" s="84">
        <v>4.8567625784589601E-3</v>
      </c>
      <c r="F6" s="84">
        <v>1.5719597963867168E-2</v>
      </c>
      <c r="G6" s="84">
        <v>4.7084644844602131E-3</v>
      </c>
      <c r="H6" s="84">
        <v>9.1574073044226197E-4</v>
      </c>
      <c r="I6" s="84">
        <v>0.14273691547379389</v>
      </c>
      <c r="J6" s="84">
        <v>1.2160443707897244E-2</v>
      </c>
      <c r="K6" s="84">
        <v>6.9700104179411032E-3</v>
      </c>
      <c r="L6" s="32">
        <f t="shared" si="0"/>
        <v>0.97282312117093817</v>
      </c>
      <c r="M6" s="32">
        <f t="shared" si="1"/>
        <v>0.86068563092633121</v>
      </c>
      <c r="N6" s="33">
        <f t="shared" si="2"/>
        <v>21.97534746167705</v>
      </c>
      <c r="O6" s="81"/>
      <c r="P6" s="81"/>
      <c r="Q6" s="81"/>
      <c r="R6" s="81"/>
      <c r="S6" s="81"/>
      <c r="T6" s="81"/>
    </row>
    <row r="7" spans="1:20" x14ac:dyDescent="0.2">
      <c r="A7" s="3" t="s">
        <v>375</v>
      </c>
      <c r="B7" s="3">
        <v>105.31</v>
      </c>
      <c r="C7" s="32">
        <v>46.635899999999999</v>
      </c>
      <c r="D7" s="35"/>
      <c r="E7" s="84">
        <v>6.5510912865668911E-3</v>
      </c>
      <c r="F7" s="84">
        <v>1.8256349982418027E-2</v>
      </c>
      <c r="G7" s="84">
        <v>6.599261075438706E-3</v>
      </c>
      <c r="H7" s="84">
        <v>2.1628235203445105E-3</v>
      </c>
      <c r="I7" s="84">
        <v>0.15655181383339997</v>
      </c>
      <c r="J7" s="84">
        <v>1.5847860538827259E-2</v>
      </c>
      <c r="K7" s="84">
        <v>8.8632411524140284E-3</v>
      </c>
      <c r="L7" s="32">
        <f t="shared" si="0"/>
        <v>0.89140105151055637</v>
      </c>
      <c r="M7" s="32">
        <f t="shared" si="1"/>
        <v>0.84374089105136885</v>
      </c>
      <c r="N7" s="33">
        <f t="shared" si="2"/>
        <v>21.911723660527578</v>
      </c>
      <c r="O7" s="81"/>
      <c r="P7" s="81"/>
      <c r="Q7" s="81"/>
      <c r="R7" s="81"/>
      <c r="S7" s="81"/>
      <c r="T7" s="81"/>
    </row>
    <row r="8" spans="1:20" x14ac:dyDescent="0.2">
      <c r="A8" s="3" t="s">
        <v>376</v>
      </c>
      <c r="B8" s="3">
        <v>103.06</v>
      </c>
      <c r="C8" s="32">
        <v>46.883400000000002</v>
      </c>
      <c r="D8" s="35"/>
      <c r="E8" s="84">
        <v>6.2413450098496226E-3</v>
      </c>
      <c r="F8" s="84">
        <v>2.0609441334607608E-2</v>
      </c>
      <c r="G8" s="84">
        <v>6.6964430834844909E-3</v>
      </c>
      <c r="H8" s="84">
        <v>2.2494847639666347E-3</v>
      </c>
      <c r="I8" s="84">
        <v>0.12027591946064377</v>
      </c>
      <c r="J8" s="84">
        <v>1.2482690019699245E-2</v>
      </c>
      <c r="K8" s="84">
        <v>5.7667427330589738E-3</v>
      </c>
      <c r="L8" s="32">
        <f t="shared" si="0"/>
        <v>0.86603689534165496</v>
      </c>
      <c r="M8" s="32">
        <f t="shared" si="1"/>
        <v>0.79465184798418675</v>
      </c>
      <c r="N8" s="33">
        <f t="shared" si="2"/>
        <v>20.533778090922603</v>
      </c>
      <c r="O8" s="81"/>
      <c r="P8" s="81"/>
      <c r="Q8" s="81"/>
      <c r="R8" s="81"/>
      <c r="S8" s="81"/>
      <c r="T8" s="81"/>
    </row>
    <row r="9" spans="1:20" x14ac:dyDescent="0.2">
      <c r="A9" s="3" t="s">
        <v>377</v>
      </c>
      <c r="B9" s="3">
        <v>100.57</v>
      </c>
      <c r="C9" s="32">
        <v>47.157300000000006</v>
      </c>
      <c r="D9" s="35"/>
      <c r="E9" s="84">
        <v>5.2916206315054949E-3</v>
      </c>
      <c r="F9" s="84">
        <v>1.7599968986838788E-2</v>
      </c>
      <c r="G9" s="84">
        <v>6.02818321024985E-3</v>
      </c>
      <c r="H9" s="84">
        <v>2.2290709619894942E-3</v>
      </c>
      <c r="I9" s="84">
        <v>0.10040510941830939</v>
      </c>
      <c r="J9" s="84">
        <v>1.1591169002345371E-2</v>
      </c>
      <c r="K9" s="84">
        <v>5.9312670814676977E-3</v>
      </c>
      <c r="L9" s="32">
        <f t="shared" si="0"/>
        <v>0.8259107605405489</v>
      </c>
      <c r="M9" s="32">
        <f t="shared" si="1"/>
        <v>0.79105447926147465</v>
      </c>
      <c r="N9" s="33">
        <f t="shared" si="2"/>
        <v>20.649774844840803</v>
      </c>
      <c r="O9" s="81"/>
      <c r="P9" s="81"/>
      <c r="Q9" s="81"/>
      <c r="R9" s="81"/>
      <c r="S9" s="81"/>
      <c r="T9" s="81"/>
    </row>
    <row r="10" spans="1:20" x14ac:dyDescent="0.2">
      <c r="A10" s="3" t="s">
        <v>378</v>
      </c>
      <c r="B10" s="3">
        <v>97.22</v>
      </c>
      <c r="C10" s="32">
        <v>47.525800000000004</v>
      </c>
      <c r="D10" s="35"/>
      <c r="E10" s="84">
        <v>4.3637961887420338E-3</v>
      </c>
      <c r="F10" s="84">
        <v>1.2306533136596239E-2</v>
      </c>
      <c r="G10" s="84">
        <v>4.6306470348161871E-3</v>
      </c>
      <c r="H10" s="84">
        <v>1.7109848365930995E-3</v>
      </c>
      <c r="I10" s="84">
        <v>7.4718236900762874E-2</v>
      </c>
      <c r="J10" s="84">
        <v>9.0886258751138038E-3</v>
      </c>
      <c r="K10" s="84">
        <v>4.72482968637177E-3</v>
      </c>
      <c r="L10" s="32">
        <f t="shared" si="0"/>
        <v>0.80231178896934729</v>
      </c>
      <c r="M10" s="32">
        <f t="shared" si="1"/>
        <v>0.79369546861806917</v>
      </c>
      <c r="N10" s="33">
        <f t="shared" si="2"/>
        <v>20.865451683703945</v>
      </c>
      <c r="O10" s="81"/>
      <c r="P10" s="81"/>
      <c r="Q10" s="81"/>
      <c r="R10" s="81"/>
      <c r="S10" s="81"/>
      <c r="T10" s="81"/>
    </row>
    <row r="11" spans="1:20" x14ac:dyDescent="0.2">
      <c r="A11" s="3" t="s">
        <v>379</v>
      </c>
      <c r="B11" s="3">
        <v>93.87</v>
      </c>
      <c r="C11" s="32">
        <v>47.894300000000001</v>
      </c>
      <c r="D11" s="35"/>
      <c r="E11" s="84">
        <v>4.9249475693380774E-3</v>
      </c>
      <c r="F11" s="84">
        <v>1.1369795225864222E-2</v>
      </c>
      <c r="G11" s="84">
        <v>4.3770766076772624E-3</v>
      </c>
      <c r="H11" s="84">
        <v>1.7555435115583101E-3</v>
      </c>
      <c r="I11" s="84">
        <v>8.4831632773287466E-2</v>
      </c>
      <c r="J11" s="84">
        <v>9.4257369748097179E-3</v>
      </c>
      <c r="K11" s="84">
        <v>5.5435115583099652E-3</v>
      </c>
      <c r="L11" s="32">
        <f t="shared" si="0"/>
        <v>0.84321389613970543</v>
      </c>
      <c r="M11" s="32">
        <f t="shared" si="1"/>
        <v>0.81651243493348757</v>
      </c>
      <c r="N11" s="33">
        <f t="shared" si="2"/>
        <v>21.340862691825986</v>
      </c>
      <c r="O11" s="81"/>
      <c r="P11" s="81"/>
      <c r="Q11" s="81"/>
      <c r="R11" s="81"/>
      <c r="S11" s="81"/>
      <c r="T11" s="81"/>
    </row>
    <row r="12" spans="1:20" s="4" customFormat="1" x14ac:dyDescent="0.2">
      <c r="A12" s="6" t="s">
        <v>380</v>
      </c>
      <c r="B12" s="6">
        <v>87.16</v>
      </c>
      <c r="C12" s="24">
        <v>48.632400000000004</v>
      </c>
      <c r="D12" s="82"/>
      <c r="E12" s="85">
        <v>4.6953774407009641E-3</v>
      </c>
      <c r="F12" s="85">
        <v>1.6314447039723689E-2</v>
      </c>
      <c r="G12" s="85">
        <v>5.4912041255655341E-3</v>
      </c>
      <c r="H12" s="85">
        <v>1.9935458455857483E-3</v>
      </c>
      <c r="I12" s="85">
        <v>8.5153455280509008E-2</v>
      </c>
      <c r="J12" s="85">
        <v>9.8284595580774414E-3</v>
      </c>
      <c r="K12" s="85">
        <v>5.0932907831332495E-3</v>
      </c>
      <c r="L12" s="24">
        <f t="shared" si="0"/>
        <v>0.82107945092545453</v>
      </c>
      <c r="M12" s="24">
        <f t="shared" si="1"/>
        <v>0.77837269041502888</v>
      </c>
      <c r="N12" s="95">
        <f t="shared" si="2"/>
        <v>20.284032916118569</v>
      </c>
      <c r="O12" s="83"/>
      <c r="P12" s="83"/>
      <c r="Q12" s="83"/>
      <c r="R12" s="83"/>
      <c r="S12" s="83"/>
      <c r="T12" s="83"/>
    </row>
    <row r="13" spans="1:20" s="4" customFormat="1" x14ac:dyDescent="0.2">
      <c r="A13" s="6" t="s">
        <v>381</v>
      </c>
      <c r="B13" s="6">
        <v>83.81</v>
      </c>
      <c r="C13" s="24">
        <v>49.000900000000001</v>
      </c>
      <c r="D13" s="82"/>
      <c r="E13" s="85">
        <v>4.6678824173927401E-3</v>
      </c>
      <c r="F13" s="85">
        <v>8.8554682516453903E-3</v>
      </c>
      <c r="G13" s="85">
        <v>6.4990131406143297E-3</v>
      </c>
      <c r="H13" s="85">
        <v>1.9286909666719199E-3</v>
      </c>
      <c r="I13" s="85">
        <v>7.0693653330931847E-2</v>
      </c>
      <c r="J13" s="85">
        <v>9.305746298339225E-3</v>
      </c>
      <c r="K13" s="85">
        <v>4.9980863183015515E-3</v>
      </c>
      <c r="L13" s="24">
        <f t="shared" si="0"/>
        <v>0.70184749841530247</v>
      </c>
      <c r="M13" s="301">
        <f t="shared" si="1"/>
        <v>0.79475124552662979</v>
      </c>
      <c r="N13" s="302">
        <f t="shared" si="2"/>
        <v>21.467813295310759</v>
      </c>
      <c r="O13" s="83"/>
      <c r="P13" s="83"/>
      <c r="Q13" s="83"/>
      <c r="R13" s="83"/>
      <c r="S13" s="83"/>
      <c r="T13" s="83"/>
    </row>
    <row r="14" spans="1:20" s="4" customFormat="1" x14ac:dyDescent="0.2">
      <c r="A14" s="6" t="s">
        <v>382</v>
      </c>
      <c r="B14" s="6">
        <v>80.459999999999994</v>
      </c>
      <c r="C14" s="24">
        <v>49.407900000000005</v>
      </c>
      <c r="D14" s="82"/>
      <c r="E14" s="85">
        <v>4.6548323471400392E-3</v>
      </c>
      <c r="F14" s="85">
        <v>1.3096646942800789E-2</v>
      </c>
      <c r="G14" s="85">
        <v>5.5358316896778432E-3</v>
      </c>
      <c r="H14" s="85">
        <v>1.6962524654832347E-3</v>
      </c>
      <c r="I14" s="85">
        <v>7.3898750821827744E-2</v>
      </c>
      <c r="J14" s="85">
        <v>8.5601577909270223E-3</v>
      </c>
      <c r="K14" s="85">
        <v>4.9835634451019066E-3</v>
      </c>
      <c r="L14" s="24">
        <f t="shared" si="0"/>
        <v>0.79040071118773902</v>
      </c>
      <c r="M14" s="301">
        <f t="shared" si="1"/>
        <v>0.77777777777777779</v>
      </c>
      <c r="N14" s="302">
        <f t="shared" si="2"/>
        <v>20.439539078676631</v>
      </c>
      <c r="O14" s="83"/>
      <c r="P14" s="83"/>
      <c r="Q14" s="83"/>
      <c r="R14" s="83"/>
      <c r="S14" s="83"/>
      <c r="T14" s="83"/>
    </row>
    <row r="15" spans="1:20" s="4" customFormat="1" x14ac:dyDescent="0.2">
      <c r="A15" s="6" t="s">
        <v>383</v>
      </c>
      <c r="B15" s="6">
        <v>73.75</v>
      </c>
      <c r="C15" s="24">
        <v>50.313750000000006</v>
      </c>
      <c r="D15" s="82"/>
      <c r="E15" s="85">
        <v>4.4663187024906294E-3</v>
      </c>
      <c r="F15" s="85">
        <v>7.9693137632675937E-3</v>
      </c>
      <c r="G15" s="85">
        <v>4.422531264230917E-3</v>
      </c>
      <c r="H15" s="85">
        <v>1.6113777279574035E-3</v>
      </c>
      <c r="I15" s="85">
        <v>6.261603671138824E-2</v>
      </c>
      <c r="J15" s="85">
        <v>8.4071881458647139E-3</v>
      </c>
      <c r="K15" s="85">
        <v>4.1072617087609909E-3</v>
      </c>
      <c r="L15" s="24">
        <f t="shared" si="0"/>
        <v>0.74049741711496242</v>
      </c>
      <c r="M15" s="301">
        <f t="shared" si="1"/>
        <v>0.80267589820359286</v>
      </c>
      <c r="N15" s="302">
        <f t="shared" si="2"/>
        <v>21.494332489269542</v>
      </c>
      <c r="O15" s="83"/>
      <c r="P15" s="83"/>
      <c r="Q15" s="83"/>
      <c r="R15" s="83"/>
      <c r="S15" s="83"/>
      <c r="T15" s="83"/>
    </row>
    <row r="16" spans="1:20" s="4" customFormat="1" x14ac:dyDescent="0.2">
      <c r="A16" s="6" t="s">
        <v>384</v>
      </c>
      <c r="B16" s="6">
        <v>67.040000000000006</v>
      </c>
      <c r="C16" s="24">
        <v>51.2196</v>
      </c>
      <c r="D16" s="82"/>
      <c r="E16" s="85">
        <v>3.1034506278519347E-3</v>
      </c>
      <c r="F16" s="85">
        <v>7.0936014350901364E-3</v>
      </c>
      <c r="G16" s="85">
        <v>4.4539632087633261E-3</v>
      </c>
      <c r="H16" s="85">
        <v>2.0871558068630593E-3</v>
      </c>
      <c r="I16" s="85">
        <v>4.1947739255581096E-2</v>
      </c>
      <c r="J16" s="85">
        <v>8.5259632633294911E-3</v>
      </c>
      <c r="K16" s="85">
        <v>5.1633233522723398E-3</v>
      </c>
      <c r="L16" s="24">
        <f t="shared" si="0"/>
        <v>0.57729010209586218</v>
      </c>
      <c r="M16" s="301">
        <f t="shared" si="1"/>
        <v>0.76873056262369255</v>
      </c>
      <c r="N16" s="302">
        <f t="shared" si="2"/>
        <v>21.36741256245093</v>
      </c>
      <c r="O16" s="83"/>
      <c r="P16" s="83"/>
      <c r="Q16" s="83"/>
      <c r="R16" s="83"/>
      <c r="S16" s="83"/>
      <c r="T16" s="83"/>
    </row>
    <row r="17" spans="1:20" s="4" customFormat="1" x14ac:dyDescent="0.2">
      <c r="A17" s="6" t="s">
        <v>385</v>
      </c>
      <c r="B17" s="6">
        <v>63.69</v>
      </c>
      <c r="C17" s="24">
        <v>51.671850000000006</v>
      </c>
      <c r="D17" s="82"/>
      <c r="E17" s="85">
        <v>3.0955895634409004E-3</v>
      </c>
      <c r="F17" s="85">
        <v>9.2805401398932431E-3</v>
      </c>
      <c r="G17" s="85">
        <v>4.4783277587806987E-3</v>
      </c>
      <c r="H17" s="85">
        <v>1.9744504861383609E-3</v>
      </c>
      <c r="I17" s="85">
        <v>5.1510112051622224E-2</v>
      </c>
      <c r="J17" s="85">
        <v>8.346257575474459E-3</v>
      </c>
      <c r="K17" s="85">
        <v>5.7178092942429511E-3</v>
      </c>
      <c r="L17" s="24">
        <f t="shared" si="0"/>
        <v>0.6757934710486605</v>
      </c>
      <c r="M17" s="301">
        <f t="shared" si="1"/>
        <v>0.77691683270607337</v>
      </c>
      <c r="N17" s="302">
        <f t="shared" si="2"/>
        <v>21.062672833042367</v>
      </c>
      <c r="O17" s="83"/>
      <c r="P17" s="83"/>
      <c r="Q17" s="83"/>
      <c r="R17" s="83"/>
      <c r="S17" s="83"/>
      <c r="T17" s="83"/>
    </row>
    <row r="18" spans="1:20" s="4" customFormat="1" x14ac:dyDescent="0.2">
      <c r="A18" s="6" t="s">
        <v>386</v>
      </c>
      <c r="B18" s="6">
        <v>52.51</v>
      </c>
      <c r="C18" s="24">
        <v>53.181150000000002</v>
      </c>
      <c r="D18" s="82"/>
      <c r="E18" s="86">
        <v>3.5847556126506392E-3</v>
      </c>
      <c r="F18" s="86">
        <v>1.4926286168715972E-2</v>
      </c>
      <c r="G18" s="86">
        <v>3.9762647580595832E-3</v>
      </c>
      <c r="H18" s="86">
        <v>1.2968740441671254E-3</v>
      </c>
      <c r="I18" s="86">
        <v>5.5667706612834156E-2</v>
      </c>
      <c r="J18" s="86">
        <v>6.5455435248057744E-3</v>
      </c>
      <c r="K18" s="86">
        <v>3.7438062029730226E-3</v>
      </c>
      <c r="L18" s="24">
        <f t="shared" si="0"/>
        <v>0.82667736191216368</v>
      </c>
      <c r="M18" s="301">
        <f t="shared" si="1"/>
        <v>0.73496932515337432</v>
      </c>
      <c r="N18" s="302">
        <f t="shared" si="2"/>
        <v>18.906788437712635</v>
      </c>
      <c r="O18" s="83"/>
      <c r="P18" s="83"/>
      <c r="Q18" s="83"/>
      <c r="R18" s="83"/>
      <c r="S18" s="83"/>
      <c r="T18" s="83"/>
    </row>
    <row r="19" spans="1:20" s="4" customFormat="1" x14ac:dyDescent="0.2">
      <c r="A19" s="6" t="s">
        <v>387</v>
      </c>
      <c r="B19" s="6">
        <v>40.31</v>
      </c>
      <c r="C19" s="24">
        <v>54.828150000000001</v>
      </c>
      <c r="D19" s="82"/>
      <c r="E19" s="86">
        <v>8.5357361751558728E-3</v>
      </c>
      <c r="F19" s="86">
        <v>1.7167740051535308E-2</v>
      </c>
      <c r="G19" s="86">
        <v>5.1342773985899991E-3</v>
      </c>
      <c r="H19" s="86">
        <v>1.7231918519017685E-3</v>
      </c>
      <c r="I19" s="86">
        <v>3.3693695428246871E-2</v>
      </c>
      <c r="J19" s="86">
        <v>4.1395111526131871E-3</v>
      </c>
      <c r="K19" s="86">
        <v>2.2269928216384119E-3</v>
      </c>
      <c r="L19" s="24">
        <f t="shared" si="0"/>
        <v>0.73913142379722252</v>
      </c>
      <c r="M19" s="24">
        <f t="shared" si="1"/>
        <v>0.55163271618576304</v>
      </c>
      <c r="N19" s="95">
        <f t="shared" si="2"/>
        <v>13.719739028828402</v>
      </c>
      <c r="O19" s="83"/>
      <c r="P19" s="83"/>
      <c r="Q19" s="83"/>
      <c r="R19" s="83"/>
      <c r="S19" s="83"/>
      <c r="T19" s="83"/>
    </row>
    <row r="20" spans="1:20" s="4" customFormat="1" x14ac:dyDescent="0.2">
      <c r="A20" s="6" t="s">
        <v>388</v>
      </c>
      <c r="B20" s="6">
        <v>37.36</v>
      </c>
      <c r="C20" s="24">
        <v>55.226399999999998</v>
      </c>
      <c r="D20" s="82"/>
      <c r="E20" s="85">
        <v>7.2594398769021294E-3</v>
      </c>
      <c r="F20" s="85">
        <v>1.2191690893744726E-2</v>
      </c>
      <c r="G20" s="85">
        <v>4.3765044233955424E-3</v>
      </c>
      <c r="H20" s="85">
        <v>1.5699841264879247E-3</v>
      </c>
      <c r="I20" s="85">
        <v>2.7231583078905598E-2</v>
      </c>
      <c r="J20" s="85">
        <v>3.9249603162198115E-3</v>
      </c>
      <c r="K20" s="85">
        <v>2.1500446333982863E-3</v>
      </c>
      <c r="L20" s="24">
        <f t="shared" si="0"/>
        <v>0.67659796058100397</v>
      </c>
      <c r="M20" s="24">
        <f t="shared" si="1"/>
        <v>0.56736287793621676</v>
      </c>
      <c r="N20" s="95">
        <f t="shared" si="2"/>
        <v>14.561938779528429</v>
      </c>
      <c r="O20" s="83"/>
      <c r="P20" s="83"/>
      <c r="Q20" s="83"/>
      <c r="R20" s="83"/>
      <c r="S20" s="83"/>
      <c r="T20" s="83"/>
    </row>
    <row r="21" spans="1:20" s="4" customFormat="1" x14ac:dyDescent="0.2">
      <c r="A21" s="6" t="s">
        <v>389</v>
      </c>
      <c r="B21" s="6">
        <v>132.535</v>
      </c>
      <c r="C21" s="24">
        <v>55.877775</v>
      </c>
      <c r="D21" s="82"/>
      <c r="E21" s="85">
        <v>3.5820151690555422E-3</v>
      </c>
      <c r="F21" s="85">
        <v>7.2678568647503751E-3</v>
      </c>
      <c r="G21" s="85">
        <v>3.1667090624983778E-3</v>
      </c>
      <c r="H21" s="85">
        <v>9.638562556347521E-4</v>
      </c>
      <c r="I21" s="85">
        <v>2.5783587448757282E-2</v>
      </c>
      <c r="J21" s="85">
        <v>6.0565473872919795E-3</v>
      </c>
      <c r="K21" s="85">
        <v>4.8971511731532285E-3</v>
      </c>
      <c r="L21" s="24">
        <f t="shared" si="0"/>
        <v>0.55430615822115525</v>
      </c>
      <c r="M21" s="303">
        <f t="shared" si="1"/>
        <v>0.71034228928965781</v>
      </c>
      <c r="N21" s="304">
        <f t="shared" si="2"/>
        <v>19.687695050865443</v>
      </c>
      <c r="O21" s="83"/>
      <c r="P21" s="83"/>
      <c r="Q21" s="83"/>
      <c r="R21" s="83"/>
      <c r="S21" s="83"/>
      <c r="T21" s="83"/>
    </row>
    <row r="22" spans="1:20" s="4" customFormat="1" x14ac:dyDescent="0.2">
      <c r="A22" s="6" t="s">
        <v>390</v>
      </c>
      <c r="B22" s="6">
        <v>132.065</v>
      </c>
      <c r="C22" s="24">
        <v>55.941225000000003</v>
      </c>
      <c r="D22" s="82"/>
      <c r="E22" s="86">
        <v>0</v>
      </c>
      <c r="F22" s="86">
        <v>1.1764604855261011E-2</v>
      </c>
      <c r="G22" s="86">
        <v>4.9548737237121191E-3</v>
      </c>
      <c r="H22" s="86">
        <v>2.1811749147710195E-3</v>
      </c>
      <c r="I22" s="86">
        <v>6.1914453289366345E-2</v>
      </c>
      <c r="J22" s="86">
        <v>1.1506985770839237E-2</v>
      </c>
      <c r="K22" s="86">
        <v>1.4598414783900525E-2</v>
      </c>
      <c r="L22" s="24">
        <f t="shared" si="0"/>
        <v>0.65086517497064278</v>
      </c>
      <c r="M22" s="303">
        <f t="shared" si="1"/>
        <v>0.82322705003614172</v>
      </c>
      <c r="N22" s="304">
        <f t="shared" si="2"/>
        <v>22.639633009036849</v>
      </c>
      <c r="O22" s="83"/>
      <c r="P22" s="83"/>
      <c r="Q22" s="83"/>
      <c r="R22" s="83"/>
      <c r="S22" s="83"/>
      <c r="T22" s="83"/>
    </row>
    <row r="23" spans="1:20" s="4" customFormat="1" x14ac:dyDescent="0.2">
      <c r="A23" s="6" t="s">
        <v>391</v>
      </c>
      <c r="B23" s="6">
        <v>131.11000000000001</v>
      </c>
      <c r="C23" s="24">
        <v>58.518396226415092</v>
      </c>
      <c r="D23" s="82"/>
      <c r="E23" s="85">
        <v>1.3955111059425514E-2</v>
      </c>
      <c r="F23" s="85">
        <v>2.0932666589138272E-2</v>
      </c>
      <c r="G23" s="85">
        <v>6.5899135558398266E-3</v>
      </c>
      <c r="H23" s="85">
        <v>1.5505678954917238E-3</v>
      </c>
      <c r="I23" s="85">
        <v>3.5585533201535062E-2</v>
      </c>
      <c r="J23" s="85">
        <v>4.4501298600612476E-3</v>
      </c>
      <c r="K23" s="85">
        <v>2.1010194983912857E-3</v>
      </c>
      <c r="L23" s="24">
        <f t="shared" si="0"/>
        <v>0.70921753901713713</v>
      </c>
      <c r="M23" s="24">
        <f t="shared" si="1"/>
        <v>0.4947655894401457</v>
      </c>
      <c r="N23" s="95">
        <f t="shared" si="2"/>
        <v>12.126469826417349</v>
      </c>
      <c r="O23" s="83"/>
      <c r="P23" s="83"/>
      <c r="Q23" s="83"/>
      <c r="R23" s="83"/>
      <c r="S23" s="83"/>
      <c r="T23" s="83"/>
    </row>
    <row r="24" spans="1:20" s="4" customFormat="1" x14ac:dyDescent="0.2">
      <c r="A24" s="6" t="s">
        <v>392</v>
      </c>
      <c r="B24" s="6">
        <v>130.66</v>
      </c>
      <c r="C24" s="24">
        <v>58.539622641509432</v>
      </c>
      <c r="D24" s="82"/>
      <c r="E24" s="86">
        <v>2.1876592046510233E-2</v>
      </c>
      <c r="F24" s="86">
        <v>2.2376057618348367E-2</v>
      </c>
      <c r="G24" s="86">
        <v>6.8426783341824244E-3</v>
      </c>
      <c r="H24" s="86">
        <v>1.0288990779865543E-3</v>
      </c>
      <c r="I24" s="86">
        <v>3.9407833618028708E-2</v>
      </c>
      <c r="J24" s="86">
        <v>3.1016812011148073E-3</v>
      </c>
      <c r="K24" s="86">
        <v>1.3335730768078155E-3</v>
      </c>
      <c r="L24" s="24">
        <f t="shared" si="0"/>
        <v>0.79329843960171109</v>
      </c>
      <c r="M24" s="24">
        <f t="shared" si="1"/>
        <v>0.45685437701675857</v>
      </c>
      <c r="N24" s="95">
        <f t="shared" si="2"/>
        <v>10.474483534977814</v>
      </c>
      <c r="O24" s="83"/>
      <c r="P24" s="83"/>
      <c r="Q24" s="83"/>
      <c r="R24" s="83"/>
      <c r="S24" s="83"/>
      <c r="T24" s="83"/>
    </row>
    <row r="25" spans="1:20" s="4" customFormat="1" x14ac:dyDescent="0.2">
      <c r="A25" s="6" t="s">
        <v>393</v>
      </c>
      <c r="B25" s="6">
        <v>129.52500000000001</v>
      </c>
      <c r="C25" s="24">
        <v>58.593160377358487</v>
      </c>
      <c r="D25" s="82"/>
      <c r="E25" s="86">
        <v>2.1813275837068699E-2</v>
      </c>
      <c r="F25" s="86">
        <v>2.5595924826155757E-2</v>
      </c>
      <c r="G25" s="86">
        <v>7.9435628770828208E-3</v>
      </c>
      <c r="H25" s="86">
        <v>1.1726211866169879E-3</v>
      </c>
      <c r="I25" s="86">
        <v>4.2365668677775047E-2</v>
      </c>
      <c r="J25" s="86">
        <v>4.2176536228320689E-3</v>
      </c>
      <c r="K25" s="86">
        <v>1.6643655551983054E-3</v>
      </c>
      <c r="L25" s="24">
        <f t="shared" si="0"/>
        <v>0.74728653320683547</v>
      </c>
      <c r="M25" s="24">
        <f t="shared" si="1"/>
        <v>0.46049702148143695</v>
      </c>
      <c r="N25" s="95">
        <f t="shared" si="2"/>
        <v>10.848293022641789</v>
      </c>
      <c r="O25" s="83"/>
      <c r="P25" s="83"/>
      <c r="Q25" s="83"/>
      <c r="R25" s="83"/>
      <c r="S25" s="83"/>
      <c r="T25" s="83"/>
    </row>
    <row r="26" spans="1:20" s="4" customFormat="1" x14ac:dyDescent="0.2">
      <c r="A26" s="6" t="s">
        <v>394</v>
      </c>
      <c r="B26" s="6">
        <v>129.255</v>
      </c>
      <c r="C26" s="24">
        <v>58.605896226415098</v>
      </c>
      <c r="D26" s="82"/>
      <c r="E26" s="85">
        <v>2.5416134901023707E-2</v>
      </c>
      <c r="F26" s="85">
        <v>2.438428327042659E-2</v>
      </c>
      <c r="G26" s="85">
        <v>8.2005050642191876E-3</v>
      </c>
      <c r="H26" s="85">
        <v>1.0209900344855677E-3</v>
      </c>
      <c r="I26" s="85">
        <v>4.5021315882368913E-2</v>
      </c>
      <c r="J26" s="85">
        <v>3.8124202351535559E-3</v>
      </c>
      <c r="K26" s="85">
        <v>1.4934694653379315E-3</v>
      </c>
      <c r="L26" s="24">
        <f t="shared" si="0"/>
        <v>0.76174573118972078</v>
      </c>
      <c r="M26" s="24">
        <f t="shared" si="1"/>
        <v>0.46024335733796867</v>
      </c>
      <c r="N26" s="95">
        <f t="shared" si="2"/>
        <v>10.758445781631311</v>
      </c>
      <c r="O26" s="83"/>
      <c r="P26" s="83"/>
      <c r="Q26" s="83"/>
      <c r="R26" s="83"/>
      <c r="S26" s="83"/>
      <c r="T26" s="83"/>
    </row>
    <row r="27" spans="1:20" s="4" customFormat="1" x14ac:dyDescent="0.2">
      <c r="A27" s="6" t="s">
        <v>395</v>
      </c>
      <c r="B27" s="6">
        <v>128.38</v>
      </c>
      <c r="C27" s="24">
        <v>58.647169811320758</v>
      </c>
      <c r="D27" s="82"/>
      <c r="E27" s="85">
        <v>1.7721174764321973E-2</v>
      </c>
      <c r="F27" s="85">
        <v>1.6950688905003626E-2</v>
      </c>
      <c r="G27" s="85">
        <v>7.2063089195068888E-3</v>
      </c>
      <c r="H27" s="85">
        <v>6.6624365482233498E-4</v>
      </c>
      <c r="I27" s="85">
        <v>4.6682378535170412E-2</v>
      </c>
      <c r="J27" s="85">
        <v>3.0230239303843365E-3</v>
      </c>
      <c r="K27" s="85">
        <v>1.2962291515591009E-3</v>
      </c>
      <c r="L27" s="24">
        <f t="shared" si="0"/>
        <v>0.79383554871602446</v>
      </c>
      <c r="M27" s="24">
        <f t="shared" si="1"/>
        <v>0.54520348837209309</v>
      </c>
      <c r="N27" s="95">
        <f t="shared" si="2"/>
        <v>13.210260578315028</v>
      </c>
      <c r="O27" s="83"/>
      <c r="P27" s="83"/>
      <c r="Q27" s="83"/>
      <c r="R27" s="83"/>
      <c r="S27" s="83"/>
      <c r="T27" s="83"/>
    </row>
    <row r="28" spans="1:20" s="4" customFormat="1" x14ac:dyDescent="0.2">
      <c r="A28" s="6" t="s">
        <v>396</v>
      </c>
      <c r="B28" s="6">
        <v>126.38500000000001</v>
      </c>
      <c r="C28" s="24">
        <v>58.741273584905663</v>
      </c>
      <c r="D28" s="82"/>
      <c r="E28" s="85">
        <v>1.8327877265255137E-2</v>
      </c>
      <c r="F28" s="85">
        <v>2.12885343619502E-2</v>
      </c>
      <c r="G28" s="85">
        <v>8.8960696572123014E-3</v>
      </c>
      <c r="H28" s="85">
        <v>1.3703612847559997E-3</v>
      </c>
      <c r="I28" s="85">
        <v>4.2718052395171589E-2</v>
      </c>
      <c r="J28" s="85">
        <v>4.6101660505680235E-3</v>
      </c>
      <c r="K28" s="85">
        <v>1.9032795621611105E-3</v>
      </c>
      <c r="L28" s="24">
        <f t="shared" si="0"/>
        <v>0.67569034377855941</v>
      </c>
      <c r="M28" s="24">
        <f t="shared" si="1"/>
        <v>0.49671417598361345</v>
      </c>
      <c r="N28" s="95">
        <f t="shared" si="2"/>
        <v>12.376975206267584</v>
      </c>
      <c r="O28" s="83"/>
      <c r="P28" s="83"/>
      <c r="Q28" s="83"/>
      <c r="R28" s="83"/>
      <c r="S28" s="83"/>
      <c r="T28" s="83"/>
    </row>
    <row r="29" spans="1:20" s="4" customFormat="1" x14ac:dyDescent="0.2">
      <c r="A29" s="6" t="s">
        <v>397</v>
      </c>
      <c r="B29" s="6">
        <v>125.235</v>
      </c>
      <c r="C29" s="24">
        <v>58.795518867924528</v>
      </c>
      <c r="D29" s="82"/>
      <c r="E29" s="86">
        <v>1.853670219135433E-2</v>
      </c>
      <c r="F29" s="86">
        <v>2.0787929589270747E-2</v>
      </c>
      <c r="G29" s="86">
        <v>8.43012812836786E-3</v>
      </c>
      <c r="H29" s="86">
        <v>1.1495629265956173E-3</v>
      </c>
      <c r="I29" s="86">
        <v>3.5013770805891513E-2</v>
      </c>
      <c r="J29" s="86">
        <v>4.2485929828763019E-3</v>
      </c>
      <c r="K29" s="86">
        <v>1.7626631541132799E-3</v>
      </c>
      <c r="L29" s="24">
        <f t="shared" si="0"/>
        <v>0.64357198406068961</v>
      </c>
      <c r="M29" s="24">
        <f t="shared" si="1"/>
        <v>0.45619174434087889</v>
      </c>
      <c r="N29" s="95">
        <f t="shared" si="2"/>
        <v>11.302890924943135</v>
      </c>
      <c r="O29" s="83"/>
      <c r="P29" s="83"/>
      <c r="Q29" s="83"/>
      <c r="R29" s="83"/>
      <c r="S29" s="83"/>
      <c r="T29" s="83"/>
    </row>
    <row r="30" spans="1:20" s="4" customFormat="1" x14ac:dyDescent="0.2">
      <c r="A30" s="6" t="s">
        <v>398</v>
      </c>
      <c r="B30" s="6">
        <v>123.52</v>
      </c>
      <c r="C30" s="24">
        <v>58.87641509433962</v>
      </c>
      <c r="D30" s="82"/>
      <c r="E30" s="85">
        <v>1.3619625040938756E-2</v>
      </c>
      <c r="F30" s="85">
        <v>1.8492335466142651E-2</v>
      </c>
      <c r="G30" s="85">
        <v>7.3889461365796768E-3</v>
      </c>
      <c r="H30" s="85">
        <v>1.0743927085080718E-3</v>
      </c>
      <c r="I30" s="85">
        <v>3.4867837714778693E-2</v>
      </c>
      <c r="J30" s="85">
        <v>4.1138456868524687E-3</v>
      </c>
      <c r="K30" s="85">
        <v>1.8172813471047313E-3</v>
      </c>
      <c r="L30" s="24">
        <f t="shared" si="0"/>
        <v>0.66641397038029604</v>
      </c>
      <c r="M30" s="24">
        <f t="shared" si="1"/>
        <v>0.50137430057916943</v>
      </c>
      <c r="N30" s="95">
        <f t="shared" si="2"/>
        <v>12.574036105897974</v>
      </c>
      <c r="O30" s="83"/>
      <c r="P30" s="83"/>
      <c r="Q30" s="83"/>
      <c r="R30" s="83"/>
      <c r="S30" s="83"/>
      <c r="T30" s="83"/>
    </row>
    <row r="31" spans="1:20" s="4" customFormat="1" x14ac:dyDescent="0.2">
      <c r="A31" s="6" t="s">
        <v>399</v>
      </c>
      <c r="B31" s="6">
        <v>121.145</v>
      </c>
      <c r="C31" s="24">
        <v>58.988443396226415</v>
      </c>
      <c r="D31" s="82"/>
      <c r="E31" s="86">
        <v>1.3975133899681946E-2</v>
      </c>
      <c r="F31" s="86">
        <v>1.8656459540954715E-2</v>
      </c>
      <c r="G31" s="86">
        <v>6.746616365363698E-3</v>
      </c>
      <c r="H31" s="86">
        <v>1.0808354789409189E-3</v>
      </c>
      <c r="I31" s="86">
        <v>3.1392419006182101E-2</v>
      </c>
      <c r="J31" s="86">
        <v>3.8896308637045808E-3</v>
      </c>
      <c r="K31" s="86">
        <v>1.7623814178909251E-3</v>
      </c>
      <c r="L31" s="24">
        <f t="shared" si="0"/>
        <v>0.67260592709818434</v>
      </c>
      <c r="M31" s="24">
        <f t="shared" si="1"/>
        <v>0.47797122046544671</v>
      </c>
      <c r="N31" s="95">
        <f t="shared" si="2"/>
        <v>11.813432227782142</v>
      </c>
      <c r="O31" s="83"/>
      <c r="P31" s="83"/>
      <c r="Q31" s="83"/>
      <c r="R31" s="83"/>
      <c r="S31" s="83"/>
      <c r="T31" s="83"/>
    </row>
    <row r="32" spans="1:20" s="4" customFormat="1" x14ac:dyDescent="0.2">
      <c r="A32" s="6" t="s">
        <v>400</v>
      </c>
      <c r="B32" s="6">
        <v>119.625</v>
      </c>
      <c r="C32" s="24">
        <v>59.060141509433961</v>
      </c>
      <c r="D32" s="82"/>
      <c r="E32" s="86">
        <v>1.9161292500928521E-2</v>
      </c>
      <c r="F32" s="86">
        <v>2.0343046223452746E-2</v>
      </c>
      <c r="G32" s="86">
        <v>7.4281662558665631E-3</v>
      </c>
      <c r="H32" s="86">
        <v>1.2957085457676334E-3</v>
      </c>
      <c r="I32" s="86">
        <v>3.3848803052301042E-2</v>
      </c>
      <c r="J32" s="86">
        <v>4.2627544991052438E-3</v>
      </c>
      <c r="K32" s="86">
        <v>2.0216429753182295E-3</v>
      </c>
      <c r="L32" s="24">
        <f t="shared" si="0"/>
        <v>0.66608525466838586</v>
      </c>
      <c r="M32" s="24">
        <f t="shared" si="1"/>
        <v>0.45419373328238444</v>
      </c>
      <c r="N32" s="95">
        <f t="shared" si="2"/>
        <v>11.11330233778417</v>
      </c>
      <c r="O32" s="83"/>
      <c r="P32" s="83"/>
      <c r="Q32" s="83"/>
      <c r="R32" s="83"/>
      <c r="S32" s="83"/>
      <c r="T32" s="83"/>
    </row>
    <row r="33" spans="1:20" s="4" customFormat="1" x14ac:dyDescent="0.2">
      <c r="A33" s="6" t="s">
        <v>401</v>
      </c>
      <c r="B33" s="6">
        <v>117.925</v>
      </c>
      <c r="C33" s="24">
        <v>59.140330188679243</v>
      </c>
      <c r="D33" s="82"/>
      <c r="E33" s="85">
        <v>1.00119189511323E-2</v>
      </c>
      <c r="F33" s="85">
        <v>1.5828367103694875E-2</v>
      </c>
      <c r="G33" s="85">
        <v>6.3027413587604291E-3</v>
      </c>
      <c r="H33" s="85">
        <v>1.0488676996424314E-3</v>
      </c>
      <c r="I33" s="85">
        <v>2.9082240762812874E-2</v>
      </c>
      <c r="J33" s="85">
        <v>4.2526817640047678E-3</v>
      </c>
      <c r="K33" s="85">
        <v>1.8879618593563767E-3</v>
      </c>
      <c r="L33" s="24">
        <f t="shared" si="0"/>
        <v>0.62887328625017336</v>
      </c>
      <c r="M33" s="24">
        <f t="shared" si="1"/>
        <v>0.51484320557491292</v>
      </c>
      <c r="N33" s="95">
        <f t="shared" si="2"/>
        <v>13.204427839783818</v>
      </c>
      <c r="O33" s="83"/>
      <c r="P33" s="83"/>
      <c r="Q33" s="83"/>
      <c r="R33" s="83"/>
      <c r="S33" s="83"/>
      <c r="T33" s="83"/>
    </row>
    <row r="34" spans="1:20" s="4" customFormat="1" x14ac:dyDescent="0.2">
      <c r="A34" s="6" t="s">
        <v>402</v>
      </c>
      <c r="B34" s="6">
        <v>114.88500000000001</v>
      </c>
      <c r="C34" s="24">
        <v>59.283726415094343</v>
      </c>
      <c r="D34" s="82"/>
      <c r="E34" s="85">
        <v>1.0403285628991695E-2</v>
      </c>
      <c r="F34" s="85">
        <v>1.5469233413544173E-2</v>
      </c>
      <c r="G34" s="85">
        <v>6.1786470300881115E-3</v>
      </c>
      <c r="H34" s="85">
        <v>1.0765139042174016E-3</v>
      </c>
      <c r="I34" s="85">
        <v>2.9038736407881169E-2</v>
      </c>
      <c r="J34" s="85">
        <v>4.1794069222557944E-3</v>
      </c>
      <c r="K34" s="85">
        <v>1.8816377485480632E-3</v>
      </c>
      <c r="L34" s="24">
        <f t="shared" si="0"/>
        <v>0.63315961609145344</v>
      </c>
      <c r="M34" s="24">
        <f t="shared" si="1"/>
        <v>0.51445239989392733</v>
      </c>
      <c r="N34" s="95">
        <f t="shared" si="2"/>
        <v>13.168009373473206</v>
      </c>
      <c r="O34" s="83"/>
      <c r="P34" s="83"/>
      <c r="Q34" s="83"/>
      <c r="R34" s="83"/>
      <c r="S34" s="83"/>
      <c r="T34" s="83"/>
    </row>
    <row r="35" spans="1:20" s="4" customFormat="1" x14ac:dyDescent="0.2">
      <c r="A35" s="6" t="s">
        <v>403</v>
      </c>
      <c r="B35" s="6">
        <v>110.08</v>
      </c>
      <c r="C35" s="24">
        <v>59.510377358490565</v>
      </c>
      <c r="D35" s="82"/>
      <c r="E35" s="85">
        <v>9.1435537945748248E-3</v>
      </c>
      <c r="F35" s="85">
        <v>1.4524328249818447E-2</v>
      </c>
      <c r="G35" s="85">
        <v>5.4184022486369332E-3</v>
      </c>
      <c r="H35" s="85">
        <v>8.353370133315272E-4</v>
      </c>
      <c r="I35" s="85">
        <v>2.7581172557297723E-2</v>
      </c>
      <c r="J35" s="85">
        <v>3.8380349261178275E-3</v>
      </c>
      <c r="K35" s="85">
        <v>1.7271157167530224E-3</v>
      </c>
      <c r="L35" s="24">
        <f t="shared" si="0"/>
        <v>0.65789497942497099</v>
      </c>
      <c r="M35" s="24">
        <f t="shared" si="1"/>
        <v>0.52556530039973737</v>
      </c>
      <c r="N35" s="95">
        <f t="shared" si="2"/>
        <v>13.372259779052273</v>
      </c>
      <c r="O35" s="83"/>
      <c r="P35" s="83"/>
      <c r="Q35" s="83"/>
      <c r="R35" s="83"/>
      <c r="S35" s="83"/>
      <c r="T35" s="83"/>
    </row>
    <row r="36" spans="1:20" s="4" customFormat="1" x14ac:dyDescent="0.2">
      <c r="A36" s="6" t="s">
        <v>404</v>
      </c>
      <c r="B36" s="6">
        <v>101.16500000000001</v>
      </c>
      <c r="C36" s="24">
        <v>59.930896226415094</v>
      </c>
      <c r="D36" s="82"/>
      <c r="E36" s="86">
        <v>1.0689580742309156E-2</v>
      </c>
      <c r="F36" s="86">
        <v>1.6342724404107264E-2</v>
      </c>
      <c r="G36" s="86">
        <v>6.3315209012138841E-3</v>
      </c>
      <c r="H36" s="86">
        <v>1.2025778335097799E-3</v>
      </c>
      <c r="I36" s="86">
        <v>3.4432784121861224E-2</v>
      </c>
      <c r="J36" s="86">
        <v>4.7691975619533157E-3</v>
      </c>
      <c r="K36" s="86">
        <v>2.1995868065905378E-3</v>
      </c>
      <c r="L36" s="24">
        <f t="shared" si="0"/>
        <v>0.66030319343669719</v>
      </c>
      <c r="M36" s="24">
        <f t="shared" si="1"/>
        <v>0.54498714652956304</v>
      </c>
      <c r="N36" s="95">
        <f t="shared" si="2"/>
        <v>13.96068243563038</v>
      </c>
      <c r="O36" s="83"/>
      <c r="P36" s="83"/>
      <c r="Q36" s="83"/>
      <c r="R36" s="83"/>
      <c r="S36" s="83"/>
      <c r="T36" s="83"/>
    </row>
    <row r="37" spans="1:20" s="4" customFormat="1" x14ac:dyDescent="0.2">
      <c r="A37" s="6" t="s">
        <v>405</v>
      </c>
      <c r="B37" s="6">
        <v>93.694999999999993</v>
      </c>
      <c r="C37" s="24">
        <v>60.283254716981133</v>
      </c>
      <c r="D37" s="82"/>
      <c r="E37" s="86">
        <v>7.8474024409551802E-3</v>
      </c>
      <c r="F37" s="86">
        <v>1.1839940524949921E-2</v>
      </c>
      <c r="G37" s="86">
        <v>5.1076952729725827E-3</v>
      </c>
      <c r="H37" s="86">
        <v>1.0050182073504002E-3</v>
      </c>
      <c r="I37" s="86">
        <v>2.5607313228380061E-2</v>
      </c>
      <c r="J37" s="86">
        <v>3.7722601207398586E-3</v>
      </c>
      <c r="K37" s="86">
        <v>1.7553400196873429E-3</v>
      </c>
      <c r="L37" s="24">
        <f t="shared" si="0"/>
        <v>0.62500918939893091</v>
      </c>
      <c r="M37" s="24">
        <f t="shared" si="1"/>
        <v>0.54685044130093097</v>
      </c>
      <c r="N37" s="95">
        <f t="shared" si="2"/>
        <v>14.218561576436921</v>
      </c>
      <c r="O37" s="83"/>
      <c r="P37" s="83"/>
      <c r="Q37" s="83"/>
      <c r="R37" s="83"/>
      <c r="S37" s="83"/>
      <c r="T37" s="83"/>
    </row>
    <row r="38" spans="1:20" x14ac:dyDescent="0.2">
      <c r="A38" s="3" t="s">
        <v>406</v>
      </c>
      <c r="B38" s="3">
        <v>79.655000000000001</v>
      </c>
      <c r="C38" s="32">
        <v>60.945518867924527</v>
      </c>
      <c r="D38" s="35"/>
      <c r="E38" s="87">
        <v>8.1444911666355719E-3</v>
      </c>
      <c r="F38" s="87">
        <v>1.2198797342097332E-2</v>
      </c>
      <c r="G38" s="87">
        <v>5.1187110415859393E-3</v>
      </c>
      <c r="H38" s="87">
        <v>8.9457847175380435E-4</v>
      </c>
      <c r="I38" s="87">
        <v>2.463678678894167E-2</v>
      </c>
      <c r="J38" s="87">
        <v>3.6955180183412505E-3</v>
      </c>
      <c r="K38" s="87">
        <v>1.6982639437037462E-3</v>
      </c>
      <c r="L38" s="32">
        <f t="shared" si="0"/>
        <v>0.62108322864139287</v>
      </c>
      <c r="M38" s="32">
        <f t="shared" si="1"/>
        <v>0.53257826418936116</v>
      </c>
      <c r="N38" s="33">
        <f t="shared" si="2"/>
        <v>13.798384283473499</v>
      </c>
      <c r="O38" s="81"/>
      <c r="P38" s="81"/>
      <c r="Q38" s="81"/>
      <c r="R38" s="81"/>
      <c r="S38" s="81"/>
      <c r="T38" s="81"/>
    </row>
    <row r="39" spans="1:20" x14ac:dyDescent="0.2">
      <c r="A39" s="3" t="s">
        <v>407</v>
      </c>
      <c r="B39" s="3">
        <v>70.415000000000006</v>
      </c>
      <c r="C39" s="32">
        <v>61.381367924528298</v>
      </c>
      <c r="D39" s="35"/>
      <c r="E39" s="84">
        <v>9.4913391530228666E-3</v>
      </c>
      <c r="F39" s="84">
        <v>1.4292513636861919E-2</v>
      </c>
      <c r="G39" s="84">
        <v>5.8696439498957202E-3</v>
      </c>
      <c r="H39" s="84">
        <v>1.2863262273175727E-3</v>
      </c>
      <c r="I39" s="84">
        <v>3.1082748103466697E-2</v>
      </c>
      <c r="J39" s="84">
        <v>4.7040408960157187E-3</v>
      </c>
      <c r="K39" s="84">
        <v>2.1785676126090496E-3</v>
      </c>
      <c r="L39" s="32">
        <f t="shared" si="0"/>
        <v>0.63259278132068564</v>
      </c>
      <c r="M39" s="32">
        <f t="shared" si="1"/>
        <v>0.55097972088527303</v>
      </c>
      <c r="N39" s="33">
        <f t="shared" si="2"/>
        <v>14.303570277355176</v>
      </c>
      <c r="O39" s="81"/>
      <c r="P39" s="81"/>
      <c r="Q39" s="81"/>
      <c r="R39" s="81"/>
      <c r="S39" s="81"/>
      <c r="T39" s="81"/>
    </row>
    <row r="40" spans="1:20" x14ac:dyDescent="0.2">
      <c r="A40" s="3" t="s">
        <v>408</v>
      </c>
      <c r="B40" s="3">
        <v>64.805000000000007</v>
      </c>
      <c r="C40" s="32">
        <v>61.645990566037739</v>
      </c>
      <c r="D40" s="35"/>
      <c r="E40" s="84">
        <v>1.0458183734642116E-2</v>
      </c>
      <c r="F40" s="84">
        <v>1.5975493263941501E-2</v>
      </c>
      <c r="G40" s="84">
        <v>6.5960670641325471E-3</v>
      </c>
      <c r="H40" s="84">
        <v>1.2187489706512072E-3</v>
      </c>
      <c r="I40" s="84">
        <v>3.5986033795579561E-2</v>
      </c>
      <c r="J40" s="84">
        <v>5.0726308508185379E-3</v>
      </c>
      <c r="K40" s="84">
        <v>2.3963239895912251E-3</v>
      </c>
      <c r="L40" s="32">
        <f t="shared" si="0"/>
        <v>0.64865950899667391</v>
      </c>
      <c r="M40" s="32">
        <f t="shared" si="1"/>
        <v>0.55924120389995768</v>
      </c>
      <c r="N40" s="33">
        <f t="shared" si="2"/>
        <v>14.468577904887546</v>
      </c>
      <c r="O40" s="81"/>
      <c r="P40" s="81"/>
      <c r="Q40" s="81"/>
      <c r="R40" s="81"/>
      <c r="S40" s="81"/>
      <c r="T40" s="81"/>
    </row>
    <row r="41" spans="1:20" x14ac:dyDescent="0.2">
      <c r="A41" s="3" t="s">
        <v>409</v>
      </c>
      <c r="B41" s="3">
        <v>62.225000000000001</v>
      </c>
      <c r="C41" s="32">
        <v>61.767688679245282</v>
      </c>
      <c r="D41" s="35"/>
      <c r="E41" s="84">
        <v>9.7892230355410524E-3</v>
      </c>
      <c r="F41" s="84">
        <v>1.613898932886498E-2</v>
      </c>
      <c r="G41" s="84">
        <v>7.2404973983596441E-3</v>
      </c>
      <c r="H41" s="84">
        <v>1.3669635770350119E-3</v>
      </c>
      <c r="I41" s="84">
        <v>3.1131493076990917E-2</v>
      </c>
      <c r="J41" s="84">
        <v>5.6795131845841784E-3</v>
      </c>
      <c r="K41" s="84">
        <v>2.6457359555516358E-3</v>
      </c>
      <c r="L41" s="32">
        <f t="shared" si="0"/>
        <v>0.56332716500264168</v>
      </c>
      <c r="M41" s="32">
        <f t="shared" si="1"/>
        <v>0.53325387365911803</v>
      </c>
      <c r="N41" s="33">
        <f t="shared" si="2"/>
        <v>14.146805057867681</v>
      </c>
      <c r="O41" s="81"/>
      <c r="P41" s="81"/>
      <c r="Q41" s="81"/>
      <c r="R41" s="81"/>
      <c r="S41" s="81"/>
      <c r="T41" s="81"/>
    </row>
    <row r="42" spans="1:20" x14ac:dyDescent="0.2">
      <c r="A42" s="3" t="s">
        <v>410</v>
      </c>
      <c r="B42" s="3">
        <v>58.314999999999998</v>
      </c>
      <c r="C42" s="32">
        <v>62.335625</v>
      </c>
      <c r="D42" s="35"/>
      <c r="E42" s="87">
        <v>8.5571472553742506E-3</v>
      </c>
      <c r="F42" s="87">
        <v>1.5212706231776446E-2</v>
      </c>
      <c r="G42" s="87">
        <v>7.0630421790390642E-3</v>
      </c>
      <c r="H42" s="87">
        <v>1.5031602586160059E-3</v>
      </c>
      <c r="I42" s="87">
        <v>3.4409692667113391E-2</v>
      </c>
      <c r="J42" s="87">
        <v>6.474455330785809E-3</v>
      </c>
      <c r="K42" s="87">
        <v>3.1512034337251209E-3</v>
      </c>
      <c r="L42" s="32">
        <f t="shared" si="0"/>
        <v>0.56413936582392077</v>
      </c>
      <c r="M42" s="32">
        <f t="shared" si="1"/>
        <v>0.57659473559402441</v>
      </c>
      <c r="N42" s="33">
        <f t="shared" si="2"/>
        <v>15.485766599193125</v>
      </c>
      <c r="O42" s="81"/>
      <c r="P42" s="81"/>
      <c r="Q42" s="81"/>
      <c r="R42" s="81"/>
      <c r="S42" s="81"/>
      <c r="T42" s="81"/>
    </row>
    <row r="43" spans="1:20" x14ac:dyDescent="0.2">
      <c r="A43" s="3" t="s">
        <v>411</v>
      </c>
      <c r="B43" s="3">
        <v>53.814999999999998</v>
      </c>
      <c r="C43" s="32">
        <v>62.898125</v>
      </c>
      <c r="D43" s="35"/>
      <c r="E43" s="87">
        <v>8.2429842753261751E-3</v>
      </c>
      <c r="F43" s="87">
        <v>1.4963379098522038E-2</v>
      </c>
      <c r="G43" s="87">
        <v>6.9304071614207331E-3</v>
      </c>
      <c r="H43" s="87">
        <v>1.3965820491953903E-3</v>
      </c>
      <c r="I43" s="87">
        <v>2.5936523770771533E-2</v>
      </c>
      <c r="J43" s="87">
        <v>5.4603207938466389E-3</v>
      </c>
      <c r="K43" s="87">
        <v>2.5148977502428269E-3</v>
      </c>
      <c r="L43" s="32">
        <f t="shared" si="0"/>
        <v>0.5186254547024578</v>
      </c>
      <c r="M43" s="32">
        <f t="shared" si="1"/>
        <v>0.51817087845968712</v>
      </c>
      <c r="N43" s="33">
        <f t="shared" si="2"/>
        <v>13.932690904087364</v>
      </c>
      <c r="O43" s="81"/>
      <c r="P43" s="81"/>
      <c r="Q43" s="81"/>
      <c r="R43" s="81"/>
      <c r="S43" s="81"/>
      <c r="T43" s="81"/>
    </row>
    <row r="44" spans="1:20" ht="16" thickBot="1" x14ac:dyDescent="0.25"/>
    <row r="45" spans="1:20" x14ac:dyDescent="0.2">
      <c r="K45" s="269"/>
      <c r="L45" s="270" t="s">
        <v>666</v>
      </c>
      <c r="M45" s="271" t="s">
        <v>667</v>
      </c>
      <c r="N45" s="270" t="s">
        <v>672</v>
      </c>
      <c r="O45" s="270" t="s">
        <v>189</v>
      </c>
      <c r="P45" s="270" t="s">
        <v>673</v>
      </c>
      <c r="Q45" s="272" t="s">
        <v>668</v>
      </c>
    </row>
    <row r="46" spans="1:20" x14ac:dyDescent="0.2">
      <c r="K46" s="273" t="s">
        <v>602</v>
      </c>
      <c r="L46" s="274">
        <f>COUNT(N13:N18)</f>
        <v>6</v>
      </c>
      <c r="M46" s="284">
        <f>MIN(N13:N18)</f>
        <v>18.906788437712635</v>
      </c>
      <c r="N46" s="284">
        <f>O46-(_xlfn.STDEV.P(N13:N18))</f>
        <v>19.87391962571332</v>
      </c>
      <c r="O46" s="284">
        <f>AVERAGE(N13:N18)</f>
        <v>20.789759782743811</v>
      </c>
      <c r="P46" s="284">
        <f>O46+(_xlfn.STDEV.P(N13:N18))</f>
        <v>21.705599939774302</v>
      </c>
      <c r="Q46" s="285">
        <f>MAX(N13:N18)</f>
        <v>21.494332489269542</v>
      </c>
    </row>
    <row r="47" spans="1:20" x14ac:dyDescent="0.2">
      <c r="K47" s="273" t="s">
        <v>43</v>
      </c>
      <c r="L47" s="274">
        <f>COUNT(N21:N22)</f>
        <v>2</v>
      </c>
      <c r="M47" s="284">
        <f>MIN(N21:N22)</f>
        <v>19.687695050865443</v>
      </c>
      <c r="N47" s="284">
        <f>O47-(_xlfn.STDEV.P(N21:N22))</f>
        <v>19.687695050865443</v>
      </c>
      <c r="O47" s="284">
        <f>AVERAGE(N21:N22)</f>
        <v>21.163664029951146</v>
      </c>
      <c r="P47" s="284">
        <f>O47+(_xlfn.STDEV.P(N21:N22))</f>
        <v>22.639633009036849</v>
      </c>
      <c r="Q47" s="285">
        <f>MAX(N21:N22)</f>
        <v>22.639633009036849</v>
      </c>
    </row>
    <row r="48" spans="1:20" x14ac:dyDescent="0.2">
      <c r="K48" s="273" t="s">
        <v>186</v>
      </c>
      <c r="L48" s="274"/>
      <c r="M48" s="284"/>
      <c r="N48" s="284"/>
      <c r="O48" s="284"/>
      <c r="P48" s="284"/>
      <c r="Q48" s="285"/>
    </row>
    <row r="49" spans="11:17" x14ac:dyDescent="0.2">
      <c r="K49" s="273"/>
      <c r="L49" s="277"/>
      <c r="M49" s="284"/>
      <c r="N49" s="284"/>
      <c r="O49" s="286"/>
      <c r="P49" s="284"/>
      <c r="Q49" s="287"/>
    </row>
    <row r="50" spans="11:17" x14ac:dyDescent="0.2">
      <c r="K50" s="273"/>
      <c r="L50" s="277"/>
      <c r="M50" s="275"/>
      <c r="N50" s="279"/>
      <c r="O50" s="279"/>
      <c r="P50" s="279"/>
      <c r="Q50" s="278"/>
    </row>
    <row r="51" spans="11:17" x14ac:dyDescent="0.2">
      <c r="K51" s="273" t="s">
        <v>602</v>
      </c>
      <c r="L51" s="274">
        <f t="shared" ref="L51:L52" si="3">L46</f>
        <v>6</v>
      </c>
      <c r="M51" s="275" t="str">
        <f>FIXED(M46,2)</f>
        <v>18.91</v>
      </c>
      <c r="N51" s="275" t="str">
        <f t="shared" ref="N51:Q52" si="4">FIXED(N46,2)</f>
        <v>19.87</v>
      </c>
      <c r="O51" s="275" t="str">
        <f t="shared" si="4"/>
        <v>20.79</v>
      </c>
      <c r="P51" s="275" t="str">
        <f t="shared" si="4"/>
        <v>21.71</v>
      </c>
      <c r="Q51" s="276" t="str">
        <f t="shared" si="4"/>
        <v>21.49</v>
      </c>
    </row>
    <row r="52" spans="11:17" x14ac:dyDescent="0.2">
      <c r="K52" s="273" t="s">
        <v>43</v>
      </c>
      <c r="L52" s="274">
        <f t="shared" si="3"/>
        <v>2</v>
      </c>
      <c r="M52" s="275" t="str">
        <f>FIXED(M47,2)</f>
        <v>19.69</v>
      </c>
      <c r="N52" s="275" t="str">
        <f t="shared" si="4"/>
        <v>19.69</v>
      </c>
      <c r="O52" s="275" t="str">
        <f t="shared" si="4"/>
        <v>21.16</v>
      </c>
      <c r="P52" s="275" t="str">
        <f t="shared" si="4"/>
        <v>22.64</v>
      </c>
      <c r="Q52" s="276" t="str">
        <f t="shared" si="4"/>
        <v>22.64</v>
      </c>
    </row>
    <row r="53" spans="11:17" ht="16" thickBot="1" x14ac:dyDescent="0.25">
      <c r="K53" s="280" t="s">
        <v>186</v>
      </c>
      <c r="L53" s="281"/>
      <c r="M53" s="282"/>
      <c r="N53" s="282"/>
      <c r="O53" s="282"/>
      <c r="P53" s="282"/>
      <c r="Q53" s="283"/>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18"/>
  <sheetViews>
    <sheetView topLeftCell="F1" workbookViewId="0">
      <selection activeCell="I3" sqref="I3:T8"/>
    </sheetView>
  </sheetViews>
  <sheetFormatPr baseColWidth="10" defaultColWidth="11.5" defaultRowHeight="15" x14ac:dyDescent="0.2"/>
  <cols>
    <col min="1" max="1" width="16.33203125" customWidth="1"/>
    <col min="4" max="4" width="25.33203125" bestFit="1" customWidth="1"/>
    <col min="21" max="21" width="27.33203125" bestFit="1" customWidth="1"/>
  </cols>
  <sheetData>
    <row r="1" spans="1:24" ht="21" x14ac:dyDescent="0.25">
      <c r="A1" s="44" t="s">
        <v>243</v>
      </c>
      <c r="B1" s="45"/>
      <c r="C1" s="45"/>
      <c r="D1" s="45"/>
      <c r="E1" s="45"/>
      <c r="F1" s="44" t="s">
        <v>244</v>
      </c>
      <c r="G1" s="45"/>
      <c r="H1" s="45"/>
      <c r="I1" s="45"/>
      <c r="J1" s="45"/>
      <c r="K1" s="45"/>
      <c r="L1" s="45"/>
      <c r="M1" s="45"/>
      <c r="N1" s="45"/>
      <c r="O1" s="45"/>
      <c r="P1" s="45"/>
      <c r="Q1" s="45"/>
      <c r="R1" s="45"/>
      <c r="S1" s="45"/>
      <c r="T1" s="45"/>
      <c r="U1" s="45"/>
      <c r="V1" s="45"/>
    </row>
    <row r="2" spans="1:24" s="80" customFormat="1" ht="127" thickBot="1" x14ac:dyDescent="0.25">
      <c r="A2" s="89" t="s">
        <v>474</v>
      </c>
      <c r="B2" s="89" t="s">
        <v>367</v>
      </c>
      <c r="C2" s="113" t="s">
        <v>505</v>
      </c>
      <c r="D2" s="89" t="s">
        <v>0</v>
      </c>
      <c r="E2" s="63"/>
      <c r="F2" s="107" t="s">
        <v>484</v>
      </c>
      <c r="G2" s="107" t="s">
        <v>227</v>
      </c>
      <c r="H2" s="107" t="s">
        <v>228</v>
      </c>
      <c r="I2" s="107" t="s">
        <v>485</v>
      </c>
      <c r="J2" s="107" t="s">
        <v>486</v>
      </c>
      <c r="K2" s="107" t="s">
        <v>487</v>
      </c>
      <c r="L2" s="107" t="s">
        <v>488</v>
      </c>
      <c r="M2" s="107" t="s">
        <v>489</v>
      </c>
      <c r="N2" s="107" t="s">
        <v>490</v>
      </c>
      <c r="O2" s="107" t="s">
        <v>491</v>
      </c>
      <c r="P2" s="107" t="s">
        <v>492</v>
      </c>
      <c r="Q2" s="107" t="s">
        <v>225</v>
      </c>
      <c r="R2" s="107" t="s">
        <v>493</v>
      </c>
      <c r="S2" s="107" t="s">
        <v>226</v>
      </c>
      <c r="T2" s="107" t="s">
        <v>494</v>
      </c>
      <c r="U2" s="107" t="s">
        <v>495</v>
      </c>
      <c r="V2" s="107" t="s">
        <v>496</v>
      </c>
    </row>
    <row r="3" spans="1:24" x14ac:dyDescent="0.2">
      <c r="A3" s="45" t="s">
        <v>504</v>
      </c>
      <c r="B3" s="109" t="s">
        <v>506</v>
      </c>
      <c r="C3" s="112">
        <v>41.15</v>
      </c>
      <c r="D3" s="110" t="s">
        <v>512</v>
      </c>
      <c r="E3" s="45"/>
      <c r="F3" s="111">
        <v>168008704.678</v>
      </c>
      <c r="G3" s="111">
        <v>6214431.3039999995</v>
      </c>
      <c r="H3" s="111">
        <v>5614938.1220000004</v>
      </c>
      <c r="I3" s="111">
        <v>418770.15500000003</v>
      </c>
      <c r="J3" s="111">
        <v>1735482.7890000001</v>
      </c>
      <c r="K3" s="111">
        <v>123624.553</v>
      </c>
      <c r="L3" s="111">
        <v>0</v>
      </c>
      <c r="M3" s="111">
        <v>86797.842999999993</v>
      </c>
      <c r="N3" s="111">
        <v>10547.574000000001</v>
      </c>
      <c r="O3" s="111">
        <v>68772.84</v>
      </c>
      <c r="P3" s="111">
        <v>0</v>
      </c>
      <c r="Q3" s="111">
        <v>0</v>
      </c>
      <c r="R3" s="111">
        <v>0</v>
      </c>
      <c r="S3" s="111">
        <v>0</v>
      </c>
      <c r="T3" s="111">
        <v>0</v>
      </c>
      <c r="U3" s="105">
        <f>(F3+G3+H3)/(F3+G3+H3+I3+K3+M3+O3)</f>
        <v>0.99613392764706499</v>
      </c>
      <c r="V3" s="264">
        <f t="shared" ref="V3" si="0">52.18*U3-23.05</f>
        <v>28.928268344623849</v>
      </c>
    </row>
    <row r="4" spans="1:24" x14ac:dyDescent="0.2">
      <c r="A4" s="45" t="s">
        <v>504</v>
      </c>
      <c r="B4" s="109" t="s">
        <v>507</v>
      </c>
      <c r="C4" s="112">
        <v>39.299999999999997</v>
      </c>
      <c r="D4" s="110" t="s">
        <v>512</v>
      </c>
      <c r="E4" s="45"/>
      <c r="F4" s="111">
        <v>352962478.41299999</v>
      </c>
      <c r="G4" s="111">
        <v>14254948.625</v>
      </c>
      <c r="H4" s="111">
        <v>7863585.4000000004</v>
      </c>
      <c r="I4" s="111">
        <v>3418822.54</v>
      </c>
      <c r="J4" s="111">
        <v>0</v>
      </c>
      <c r="K4" s="111">
        <v>261255.997</v>
      </c>
      <c r="L4" s="111">
        <v>0</v>
      </c>
      <c r="M4" s="111">
        <v>135063.891</v>
      </c>
      <c r="N4" s="111">
        <v>0</v>
      </c>
      <c r="O4" s="111">
        <v>0</v>
      </c>
      <c r="P4" s="111">
        <v>0</v>
      </c>
      <c r="Q4" s="111">
        <v>0</v>
      </c>
      <c r="R4" s="111">
        <v>0</v>
      </c>
      <c r="S4" s="111">
        <v>0</v>
      </c>
      <c r="T4" s="111">
        <v>0</v>
      </c>
      <c r="U4" s="105">
        <f t="shared" ref="U4:U8" si="1">(F4+G4+H4)/(F4+G4+H4+I4+K4+M4+O4)</f>
        <v>0.98993090223006031</v>
      </c>
      <c r="V4" s="264">
        <f t="shared" ref="V4:V8" si="2">52.18*U4-23.05</f>
        <v>28.604594478364543</v>
      </c>
    </row>
    <row r="5" spans="1:24" x14ac:dyDescent="0.2">
      <c r="A5" s="45" t="s">
        <v>504</v>
      </c>
      <c r="B5" s="109" t="s">
        <v>508</v>
      </c>
      <c r="C5" s="112">
        <v>37.950000000000003</v>
      </c>
      <c r="D5" s="110" t="s">
        <v>512</v>
      </c>
      <c r="E5" s="45"/>
      <c r="F5" s="111">
        <v>180647905.80500001</v>
      </c>
      <c r="G5" s="111">
        <v>13504266.379000001</v>
      </c>
      <c r="H5" s="111">
        <v>10590851.629000001</v>
      </c>
      <c r="I5" s="111">
        <v>5181462.6229999997</v>
      </c>
      <c r="J5" s="111">
        <v>0</v>
      </c>
      <c r="K5" s="111">
        <v>300288.391</v>
      </c>
      <c r="L5" s="111">
        <v>0</v>
      </c>
      <c r="M5" s="111">
        <v>405716.76299999998</v>
      </c>
      <c r="N5" s="111">
        <v>0</v>
      </c>
      <c r="O5" s="111">
        <v>1565520.4709999999</v>
      </c>
      <c r="P5" s="111">
        <v>372135.79700000002</v>
      </c>
      <c r="Q5" s="111">
        <v>0</v>
      </c>
      <c r="R5" s="111">
        <v>0</v>
      </c>
      <c r="S5" s="111">
        <v>0</v>
      </c>
      <c r="T5" s="111">
        <v>0</v>
      </c>
      <c r="U5" s="105">
        <f t="shared" si="1"/>
        <v>0.9648768693831179</v>
      </c>
      <c r="V5" s="264">
        <f t="shared" si="2"/>
        <v>27.297275044411091</v>
      </c>
    </row>
    <row r="6" spans="1:24" x14ac:dyDescent="0.2">
      <c r="A6" s="45" t="s">
        <v>504</v>
      </c>
      <c r="B6" s="109" t="s">
        <v>509</v>
      </c>
      <c r="C6" s="112">
        <v>36.75</v>
      </c>
      <c r="D6" s="110" t="s">
        <v>512</v>
      </c>
      <c r="E6" s="45"/>
      <c r="F6" s="111">
        <v>244323246.38</v>
      </c>
      <c r="G6" s="111">
        <v>20992059.451000001</v>
      </c>
      <c r="H6" s="111">
        <v>12112397.310000001</v>
      </c>
      <c r="I6" s="111">
        <v>6177833.9069999997</v>
      </c>
      <c r="J6" s="111">
        <v>0</v>
      </c>
      <c r="K6" s="111">
        <v>115815.20299999999</v>
      </c>
      <c r="L6" s="111">
        <v>229887.03700000001</v>
      </c>
      <c r="M6" s="111">
        <v>333697.27100000001</v>
      </c>
      <c r="N6" s="111">
        <v>0</v>
      </c>
      <c r="O6" s="111">
        <v>1880935.7849999999</v>
      </c>
      <c r="P6" s="111">
        <v>228600.38</v>
      </c>
      <c r="Q6" s="111">
        <v>61124.146999999997</v>
      </c>
      <c r="R6" s="111">
        <v>8229.5939999999991</v>
      </c>
      <c r="S6" s="111">
        <v>0</v>
      </c>
      <c r="T6" s="111">
        <v>0</v>
      </c>
      <c r="U6" s="105">
        <f t="shared" si="1"/>
        <v>0.97024410146605011</v>
      </c>
      <c r="V6" s="264">
        <f t="shared" si="2"/>
        <v>27.577337214498495</v>
      </c>
    </row>
    <row r="7" spans="1:24" x14ac:dyDescent="0.2">
      <c r="A7" s="45" t="s">
        <v>504</v>
      </c>
      <c r="B7" s="109" t="s">
        <v>510</v>
      </c>
      <c r="C7" s="112">
        <v>35.75</v>
      </c>
      <c r="D7" s="110" t="s">
        <v>512</v>
      </c>
      <c r="E7" s="45"/>
      <c r="F7" s="111">
        <v>75343992.672999993</v>
      </c>
      <c r="G7" s="111">
        <v>5891737.4479999999</v>
      </c>
      <c r="H7" s="111">
        <v>3633621.7030000002</v>
      </c>
      <c r="I7" s="111">
        <v>1991768.0349999999</v>
      </c>
      <c r="J7" s="111">
        <v>0</v>
      </c>
      <c r="K7" s="111">
        <v>114392.011</v>
      </c>
      <c r="L7" s="111">
        <v>0</v>
      </c>
      <c r="M7" s="111">
        <v>101287.97500000001</v>
      </c>
      <c r="N7" s="111">
        <v>0</v>
      </c>
      <c r="O7" s="111">
        <v>398530.08799999999</v>
      </c>
      <c r="P7" s="111">
        <v>103021.20299999999</v>
      </c>
      <c r="Q7" s="111">
        <v>0</v>
      </c>
      <c r="R7" s="111">
        <v>0</v>
      </c>
      <c r="S7" s="111">
        <v>0</v>
      </c>
      <c r="T7" s="111">
        <v>0</v>
      </c>
      <c r="U7" s="105">
        <f t="shared" si="1"/>
        <v>0.97020899365574276</v>
      </c>
      <c r="V7" s="264">
        <f t="shared" si="2"/>
        <v>27.575505288956659</v>
      </c>
    </row>
    <row r="8" spans="1:24" x14ac:dyDescent="0.2">
      <c r="A8" s="45" t="s">
        <v>504</v>
      </c>
      <c r="B8" s="109" t="s">
        <v>511</v>
      </c>
      <c r="C8" s="112">
        <v>33.950000000000003</v>
      </c>
      <c r="D8" s="110" t="s">
        <v>512</v>
      </c>
      <c r="E8" s="45"/>
      <c r="F8" s="111">
        <v>24404840.436000001</v>
      </c>
      <c r="G8" s="111">
        <v>1634985.997</v>
      </c>
      <c r="H8" s="111">
        <v>1421157.425</v>
      </c>
      <c r="I8" s="111">
        <v>943062.16200000001</v>
      </c>
      <c r="J8" s="111">
        <v>0</v>
      </c>
      <c r="K8" s="111">
        <v>24032.114000000001</v>
      </c>
      <c r="L8" s="111">
        <v>12222.290999999999</v>
      </c>
      <c r="M8" s="111">
        <v>38610.851999999999</v>
      </c>
      <c r="N8" s="111">
        <v>2037.127</v>
      </c>
      <c r="O8" s="111">
        <v>37927.538</v>
      </c>
      <c r="P8" s="111">
        <v>35835.074999999997</v>
      </c>
      <c r="Q8" s="111">
        <v>0</v>
      </c>
      <c r="R8" s="111">
        <v>0</v>
      </c>
      <c r="S8" s="111">
        <v>0</v>
      </c>
      <c r="T8" s="111">
        <v>0</v>
      </c>
      <c r="U8" s="105">
        <f t="shared" si="1"/>
        <v>0.96338724062043446</v>
      </c>
      <c r="V8" s="264">
        <f t="shared" si="2"/>
        <v>27.219546215574272</v>
      </c>
    </row>
    <row r="9" spans="1:24" ht="16" thickBot="1" x14ac:dyDescent="0.25">
      <c r="A9" s="45"/>
      <c r="B9" s="45"/>
      <c r="C9" s="45"/>
      <c r="D9" s="45"/>
      <c r="E9" s="45"/>
      <c r="F9" s="45"/>
      <c r="G9" s="45"/>
      <c r="H9" s="45"/>
      <c r="I9" s="45"/>
      <c r="J9" s="45"/>
      <c r="K9" s="45"/>
      <c r="L9" s="45"/>
      <c r="M9" s="45"/>
      <c r="N9" s="45"/>
      <c r="O9" s="45"/>
      <c r="P9" s="45"/>
      <c r="Q9" s="45"/>
      <c r="R9" s="45"/>
      <c r="S9" s="45"/>
      <c r="T9" s="45"/>
      <c r="U9" s="105"/>
      <c r="V9" s="106"/>
    </row>
    <row r="10" spans="1:24" x14ac:dyDescent="0.2">
      <c r="R10" s="269"/>
      <c r="S10" s="270" t="s">
        <v>666</v>
      </c>
      <c r="T10" s="271" t="s">
        <v>667</v>
      </c>
      <c r="U10" s="270" t="s">
        <v>672</v>
      </c>
      <c r="V10" s="270" t="s">
        <v>189</v>
      </c>
      <c r="W10" s="270" t="s">
        <v>673</v>
      </c>
      <c r="X10" s="272" t="s">
        <v>668</v>
      </c>
    </row>
    <row r="11" spans="1:24" x14ac:dyDescent="0.2">
      <c r="R11" s="273" t="s">
        <v>674</v>
      </c>
      <c r="S11" s="274">
        <f>COUNT(V3:V8)</f>
        <v>6</v>
      </c>
      <c r="T11" s="284">
        <f>MIN(V3:V8)</f>
        <v>27.219546215574272</v>
      </c>
      <c r="U11" s="284">
        <f>V11-(_xlfn.STDEV.P(V3:V8))</f>
        <v>27.210963704558196</v>
      </c>
      <c r="V11" s="284">
        <f>AVERAGE(V3:V8)</f>
        <v>27.867087764404818</v>
      </c>
      <c r="W11" s="284">
        <f>V11+(_xlfn.STDEV.P(V3:V8))</f>
        <v>28.52321182425144</v>
      </c>
      <c r="X11" s="285">
        <f>MAX(V3:V8)</f>
        <v>28.928268344623849</v>
      </c>
    </row>
    <row r="12" spans="1:24" x14ac:dyDescent="0.2">
      <c r="R12" s="273" t="s">
        <v>43</v>
      </c>
      <c r="S12" s="274"/>
      <c r="T12" s="284"/>
      <c r="U12" s="284"/>
      <c r="V12" s="284"/>
      <c r="W12" s="284"/>
      <c r="X12" s="285"/>
    </row>
    <row r="13" spans="1:24" x14ac:dyDescent="0.2">
      <c r="R13" s="273" t="s">
        <v>186</v>
      </c>
      <c r="S13" s="274"/>
      <c r="T13" s="284"/>
      <c r="U13" s="284"/>
      <c r="V13" s="284"/>
      <c r="W13" s="284"/>
      <c r="X13" s="285"/>
    </row>
    <row r="14" spans="1:24" x14ac:dyDescent="0.2">
      <c r="R14" s="273"/>
      <c r="S14" s="277"/>
      <c r="T14" s="284"/>
      <c r="U14" s="284"/>
      <c r="V14" s="286"/>
      <c r="W14" s="284"/>
      <c r="X14" s="287"/>
    </row>
    <row r="15" spans="1:24" x14ac:dyDescent="0.2">
      <c r="R15" s="273"/>
      <c r="S15" s="277"/>
      <c r="T15" s="275"/>
      <c r="U15" s="279"/>
      <c r="V15" s="279"/>
      <c r="W15" s="279"/>
      <c r="X15" s="278"/>
    </row>
    <row r="16" spans="1:24" x14ac:dyDescent="0.2">
      <c r="R16" s="273" t="s">
        <v>674</v>
      </c>
      <c r="S16" s="274">
        <f t="shared" ref="S16" si="3">S11</f>
        <v>6</v>
      </c>
      <c r="T16" s="275" t="str">
        <f>FIXED(T11,2)</f>
        <v>27.22</v>
      </c>
      <c r="U16" s="275" t="str">
        <f t="shared" ref="U16:X16" si="4">FIXED(U11,2)</f>
        <v>27.21</v>
      </c>
      <c r="V16" s="275" t="str">
        <f t="shared" si="4"/>
        <v>27.87</v>
      </c>
      <c r="W16" s="275" t="str">
        <f t="shared" si="4"/>
        <v>28.52</v>
      </c>
      <c r="X16" s="276" t="str">
        <f t="shared" si="4"/>
        <v>28.93</v>
      </c>
    </row>
    <row r="17" spans="18:24" x14ac:dyDescent="0.2">
      <c r="R17" s="273" t="s">
        <v>43</v>
      </c>
      <c r="S17" s="274"/>
      <c r="T17" s="275"/>
      <c r="U17" s="275"/>
      <c r="V17" s="275"/>
      <c r="W17" s="275"/>
      <c r="X17" s="276"/>
    </row>
    <row r="18" spans="18:24" ht="16" thickBot="1" x14ac:dyDescent="0.25">
      <c r="R18" s="280" t="s">
        <v>186</v>
      </c>
      <c r="S18" s="281"/>
      <c r="T18" s="282"/>
      <c r="U18" s="282"/>
      <c r="V18" s="282"/>
      <c r="W18" s="282"/>
      <c r="X18" s="283"/>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E122"/>
  <sheetViews>
    <sheetView topLeftCell="M8" workbookViewId="0">
      <selection activeCell="Q12" sqref="Q12:Y112"/>
    </sheetView>
  </sheetViews>
  <sheetFormatPr baseColWidth="10" defaultColWidth="10.83203125" defaultRowHeight="15" x14ac:dyDescent="0.2"/>
  <cols>
    <col min="1" max="1" width="4.1640625" style="45" bestFit="1" customWidth="1"/>
    <col min="2" max="2" width="25.1640625" style="45" customWidth="1"/>
    <col min="3" max="3" width="21.5" style="45" customWidth="1"/>
    <col min="4" max="4" width="18.1640625" style="45" customWidth="1"/>
    <col min="5" max="7" width="3.5" style="45" bestFit="1" customWidth="1"/>
    <col min="8" max="9" width="4.1640625" style="45" bestFit="1" customWidth="1"/>
    <col min="10" max="15" width="8.5" style="47" customWidth="1"/>
    <col min="16" max="16" width="2.83203125" style="46" customWidth="1"/>
    <col min="17" max="17" width="10.83203125" style="166" customWidth="1"/>
    <col min="18" max="25" width="10.83203125" style="45"/>
    <col min="26" max="28" width="10.83203125" style="47"/>
    <col min="29" max="30" width="10.5" style="47" customWidth="1"/>
    <col min="31" max="31" width="10.83203125" style="166"/>
    <col min="32" max="16384" width="10.83203125" style="45"/>
  </cols>
  <sheetData>
    <row r="1" spans="1:31" x14ac:dyDescent="0.2">
      <c r="Q1" s="45"/>
      <c r="AE1" s="45"/>
    </row>
    <row r="2" spans="1:31" x14ac:dyDescent="0.2">
      <c r="B2" s="186"/>
      <c r="C2" s="186"/>
      <c r="D2" s="187" t="s">
        <v>586</v>
      </c>
      <c r="E2" s="188"/>
      <c r="Q2" s="45"/>
      <c r="AE2" s="45"/>
    </row>
    <row r="3" spans="1:31" x14ac:dyDescent="0.2">
      <c r="B3" s="187" t="s">
        <v>587</v>
      </c>
      <c r="C3" s="186" t="s">
        <v>588</v>
      </c>
      <c r="D3" s="650" t="s">
        <v>16</v>
      </c>
      <c r="E3" s="650"/>
      <c r="Q3" s="45"/>
      <c r="AE3" s="45"/>
    </row>
    <row r="4" spans="1:31" x14ac:dyDescent="0.2">
      <c r="B4" s="187" t="s">
        <v>589</v>
      </c>
      <c r="C4" s="189">
        <v>-63.31</v>
      </c>
      <c r="D4" s="189"/>
      <c r="E4" s="189"/>
      <c r="Q4" s="45"/>
      <c r="AE4" s="45"/>
    </row>
    <row r="5" spans="1:31" x14ac:dyDescent="0.2">
      <c r="B5" s="187" t="s">
        <v>590</v>
      </c>
      <c r="C5" s="189">
        <v>136</v>
      </c>
      <c r="D5" s="189"/>
      <c r="E5" s="186"/>
      <c r="Q5" s="45"/>
      <c r="AE5" s="45"/>
    </row>
    <row r="6" spans="1:31" x14ac:dyDescent="0.2">
      <c r="B6" s="187" t="s">
        <v>591</v>
      </c>
      <c r="C6" s="190" t="s">
        <v>592</v>
      </c>
      <c r="D6" s="190"/>
      <c r="E6" s="186"/>
      <c r="Q6" s="45"/>
      <c r="AE6" s="45"/>
    </row>
    <row r="7" spans="1:31" ht="64" x14ac:dyDescent="0.2">
      <c r="B7" s="187" t="s">
        <v>593</v>
      </c>
      <c r="C7" s="191" t="s">
        <v>594</v>
      </c>
      <c r="D7" s="191" t="s">
        <v>599</v>
      </c>
      <c r="E7" s="186"/>
      <c r="Q7" s="45"/>
      <c r="AE7" s="45"/>
    </row>
    <row r="8" spans="1:31" x14ac:dyDescent="0.2">
      <c r="B8" s="187" t="s">
        <v>595</v>
      </c>
      <c r="C8" s="186" t="s">
        <v>596</v>
      </c>
      <c r="D8" s="186"/>
      <c r="E8" s="186"/>
      <c r="Q8" s="45"/>
      <c r="AE8" s="45"/>
    </row>
    <row r="9" spans="1:31" x14ac:dyDescent="0.2">
      <c r="B9" s="187" t="s">
        <v>597</v>
      </c>
      <c r="C9" s="186" t="s">
        <v>598</v>
      </c>
      <c r="D9" s="186"/>
      <c r="E9" s="186"/>
      <c r="Q9" s="45"/>
      <c r="AE9" s="45"/>
    </row>
    <row r="10" spans="1:31" ht="16" thickBot="1" x14ac:dyDescent="0.25">
      <c r="Q10" s="45"/>
      <c r="AE10" s="45"/>
    </row>
    <row r="11" spans="1:31" ht="21" x14ac:dyDescent="0.25">
      <c r="A11" s="185" t="s">
        <v>243</v>
      </c>
      <c r="B11" s="178"/>
      <c r="C11" s="178"/>
      <c r="D11" s="178"/>
      <c r="E11" s="178"/>
      <c r="F11" s="178"/>
      <c r="G11" s="178"/>
      <c r="H11" s="178"/>
      <c r="I11" s="178"/>
      <c r="J11" s="179"/>
      <c r="K11" s="179"/>
      <c r="L11" s="179"/>
      <c r="M11" s="179"/>
      <c r="N11" s="179"/>
      <c r="O11" s="179"/>
      <c r="P11" s="180"/>
      <c r="Q11" s="181" t="s">
        <v>244</v>
      </c>
      <c r="R11" s="178"/>
      <c r="S11" s="178"/>
      <c r="T11" s="178"/>
      <c r="U11" s="178"/>
      <c r="V11" s="178"/>
      <c r="W11" s="178"/>
      <c r="X11" s="178"/>
      <c r="Y11" s="178"/>
      <c r="Z11" s="179"/>
      <c r="AA11" s="179"/>
      <c r="AB11" s="179"/>
      <c r="AC11" s="179"/>
      <c r="AD11" s="182"/>
      <c r="AE11" s="45"/>
    </row>
    <row r="12" spans="1:31" s="63" customFormat="1" ht="158" thickBot="1" x14ac:dyDescent="0.25">
      <c r="A12" s="183" t="s">
        <v>207</v>
      </c>
      <c r="B12" s="58" t="s">
        <v>208</v>
      </c>
      <c r="C12" s="58" t="s">
        <v>209</v>
      </c>
      <c r="D12" s="58" t="s">
        <v>219</v>
      </c>
      <c r="E12" s="194" t="s">
        <v>210</v>
      </c>
      <c r="F12" s="194" t="s">
        <v>211</v>
      </c>
      <c r="G12" s="194" t="s">
        <v>210</v>
      </c>
      <c r="H12" s="195" t="s">
        <v>220</v>
      </c>
      <c r="I12" s="196" t="s">
        <v>221</v>
      </c>
      <c r="J12" s="197" t="s">
        <v>222</v>
      </c>
      <c r="K12" s="197" t="s">
        <v>223</v>
      </c>
      <c r="L12" s="192" t="s">
        <v>224</v>
      </c>
      <c r="M12" s="192" t="s">
        <v>600</v>
      </c>
      <c r="N12" s="193" t="s">
        <v>601</v>
      </c>
      <c r="O12" s="193"/>
      <c r="P12" s="59"/>
      <c r="Q12" s="168" t="s">
        <v>234</v>
      </c>
      <c r="R12" s="60" t="s">
        <v>235</v>
      </c>
      <c r="S12" s="60" t="s">
        <v>236</v>
      </c>
      <c r="T12" s="60" t="s">
        <v>237</v>
      </c>
      <c r="U12" s="60" t="s">
        <v>238</v>
      </c>
      <c r="V12" s="60" t="s">
        <v>239</v>
      </c>
      <c r="W12" s="60" t="s">
        <v>240</v>
      </c>
      <c r="X12" s="60" t="s">
        <v>241</v>
      </c>
      <c r="Y12" s="60" t="s">
        <v>242</v>
      </c>
      <c r="Z12" s="60" t="s">
        <v>212</v>
      </c>
      <c r="AA12" s="60" t="s">
        <v>213</v>
      </c>
      <c r="AB12" s="61" t="s">
        <v>229</v>
      </c>
      <c r="AC12" s="115" t="s">
        <v>544</v>
      </c>
      <c r="AD12" s="184" t="s">
        <v>543</v>
      </c>
    </row>
    <row r="13" spans="1:31" x14ac:dyDescent="0.2">
      <c r="A13" s="36">
        <v>318</v>
      </c>
      <c r="B13" s="36" t="s">
        <v>230</v>
      </c>
      <c r="C13" s="36" t="s">
        <v>215</v>
      </c>
      <c r="D13" s="48">
        <v>96</v>
      </c>
      <c r="E13" s="48" t="s">
        <v>231</v>
      </c>
      <c r="F13" s="48" t="s">
        <v>232</v>
      </c>
      <c r="G13" s="48" t="s">
        <v>233</v>
      </c>
      <c r="H13" s="49">
        <v>14</v>
      </c>
      <c r="I13" s="37">
        <v>17</v>
      </c>
      <c r="J13" s="175">
        <v>900.74</v>
      </c>
      <c r="K13" s="175">
        <v>900.77</v>
      </c>
      <c r="L13" s="48">
        <v>900.76</v>
      </c>
      <c r="M13" s="175">
        <v>47.227421530000001</v>
      </c>
      <c r="N13" s="175"/>
      <c r="O13" s="175"/>
      <c r="P13" s="50"/>
      <c r="Q13" s="169">
        <v>1450000</v>
      </c>
      <c r="R13" s="51">
        <v>0</v>
      </c>
      <c r="S13" s="39">
        <v>166000</v>
      </c>
      <c r="T13" s="39">
        <v>7250000</v>
      </c>
      <c r="U13" s="39">
        <v>920000</v>
      </c>
      <c r="V13" s="39">
        <v>182000</v>
      </c>
      <c r="W13" s="39">
        <v>17000000</v>
      </c>
      <c r="X13" s="39">
        <v>1470000</v>
      </c>
      <c r="Y13" s="39">
        <v>620000</v>
      </c>
      <c r="Z13" s="40">
        <f t="shared" ref="Z13" si="0">-LOG((X13+U13)/(W13+T13))</f>
        <v>1.0063138419901447</v>
      </c>
      <c r="AA13" s="40">
        <f t="shared" ref="AA13" si="1">SUM(W13:Y13)/SUM(Q13:Y13)</f>
        <v>0.65696193819258031</v>
      </c>
      <c r="AB13" s="40">
        <f>(W13+X13+Y13)/(W13+X13+Y13+T13+U13+V13+Q13)</f>
        <v>0.66073653606534677</v>
      </c>
      <c r="AC13" s="38">
        <f t="shared" ref="AC13" si="2">50*(AA13-0.122-(0.187*Z13))</f>
        <v>17.339062487021163</v>
      </c>
      <c r="AD13" s="43">
        <f>(0.81-5.67*Z13)+(31*AB13)</f>
        <v>15.587033133941629</v>
      </c>
      <c r="AE13" s="167"/>
    </row>
    <row r="14" spans="1:31" x14ac:dyDescent="0.2">
      <c r="A14" s="36">
        <v>318</v>
      </c>
      <c r="B14" s="36" t="s">
        <v>230</v>
      </c>
      <c r="C14" s="36" t="s">
        <v>215</v>
      </c>
      <c r="D14" s="48">
        <v>97</v>
      </c>
      <c r="E14" s="48" t="s">
        <v>231</v>
      </c>
      <c r="F14" s="48">
        <v>1</v>
      </c>
      <c r="G14" s="48" t="s">
        <v>233</v>
      </c>
      <c r="H14" s="49">
        <v>40</v>
      </c>
      <c r="I14" s="37">
        <v>43</v>
      </c>
      <c r="J14" s="175">
        <v>910.6</v>
      </c>
      <c r="K14" s="175">
        <v>910.63</v>
      </c>
      <c r="L14" s="48">
        <v>910.62</v>
      </c>
      <c r="M14" s="175">
        <v>47.607163489999998</v>
      </c>
      <c r="N14" s="175"/>
      <c r="O14" s="175"/>
      <c r="P14" s="50"/>
      <c r="Q14" s="169">
        <v>643000</v>
      </c>
      <c r="R14" s="51">
        <v>0</v>
      </c>
      <c r="S14" s="39">
        <v>87700</v>
      </c>
      <c r="T14" s="39">
        <v>3420000</v>
      </c>
      <c r="U14" s="39">
        <v>427000</v>
      </c>
      <c r="V14" s="39">
        <v>80200</v>
      </c>
      <c r="W14" s="39">
        <v>6550000</v>
      </c>
      <c r="X14" s="39">
        <v>710000</v>
      </c>
      <c r="Y14" s="39">
        <v>307000</v>
      </c>
      <c r="Z14" s="40">
        <f t="shared" ref="Z14:Z28" si="3">-LOG((X14+U14)/(W14+T14))</f>
        <v>0.94293469362392091</v>
      </c>
      <c r="AA14" s="40">
        <f t="shared" ref="AA14:AA28" si="4">SUM(W14:Y14)/SUM(Q14:Y14)</f>
        <v>0.61898256836456744</v>
      </c>
      <c r="AB14" s="40">
        <f t="shared" ref="AB14:AB42" si="5">(W14+X14+Y14)/(W14+X14+Y14+T14+U14+V14+Q14)</f>
        <v>0.62345516264047718</v>
      </c>
      <c r="AC14" s="38">
        <f t="shared" ref="AC14:AC28" si="6">50*(AA14-0.122-(0.187*Z14))</f>
        <v>16.032689032844711</v>
      </c>
      <c r="AD14" s="43">
        <f t="shared" ref="AD14:AD42" si="7">(0.81-5.67*Z14)+(31*AB14)</f>
        <v>14.79067032900716</v>
      </c>
      <c r="AE14" s="167"/>
    </row>
    <row r="15" spans="1:31" x14ac:dyDescent="0.2">
      <c r="A15" s="36">
        <v>318</v>
      </c>
      <c r="B15" s="36" t="s">
        <v>230</v>
      </c>
      <c r="C15" s="36" t="s">
        <v>215</v>
      </c>
      <c r="D15" s="48">
        <v>97</v>
      </c>
      <c r="E15" s="48" t="s">
        <v>231</v>
      </c>
      <c r="F15" s="48">
        <v>1</v>
      </c>
      <c r="G15" s="48" t="s">
        <v>233</v>
      </c>
      <c r="H15" s="49">
        <v>100</v>
      </c>
      <c r="I15" s="37">
        <v>103</v>
      </c>
      <c r="J15" s="175">
        <v>911.2</v>
      </c>
      <c r="K15" s="175">
        <v>911.23</v>
      </c>
      <c r="L15" s="48">
        <v>911.22</v>
      </c>
      <c r="M15" s="175">
        <v>47.630271520000001</v>
      </c>
      <c r="N15" s="175"/>
      <c r="O15" s="175"/>
      <c r="P15" s="50"/>
      <c r="Q15" s="170">
        <v>703000</v>
      </c>
      <c r="R15" s="42">
        <v>51900</v>
      </c>
      <c r="S15" s="42">
        <v>62100</v>
      </c>
      <c r="T15" s="42">
        <v>3810000</v>
      </c>
      <c r="U15" s="42">
        <v>477000</v>
      </c>
      <c r="V15" s="42">
        <v>119000</v>
      </c>
      <c r="W15" s="42">
        <v>9490000</v>
      </c>
      <c r="X15" s="42">
        <v>809000</v>
      </c>
      <c r="Y15" s="42">
        <v>357000</v>
      </c>
      <c r="Z15" s="40">
        <f t="shared" si="3"/>
        <v>1.0146106723788826</v>
      </c>
      <c r="AA15" s="40">
        <f t="shared" si="4"/>
        <v>0.67107500472321935</v>
      </c>
      <c r="AB15" s="40">
        <f t="shared" si="5"/>
        <v>0.67592768791627023</v>
      </c>
      <c r="AC15" s="38">
        <f t="shared" si="6"/>
        <v>17.967140449418416</v>
      </c>
      <c r="AD15" s="43">
        <f t="shared" si="7"/>
        <v>16.010915813016112</v>
      </c>
      <c r="AE15" s="167"/>
    </row>
    <row r="16" spans="1:31" x14ac:dyDescent="0.2">
      <c r="A16" s="36">
        <v>318</v>
      </c>
      <c r="B16" s="36" t="s">
        <v>230</v>
      </c>
      <c r="C16" s="36" t="s">
        <v>215</v>
      </c>
      <c r="D16" s="48">
        <v>98</v>
      </c>
      <c r="E16" s="48" t="s">
        <v>231</v>
      </c>
      <c r="F16" s="48">
        <v>1</v>
      </c>
      <c r="G16" s="48" t="s">
        <v>233</v>
      </c>
      <c r="H16" s="49">
        <v>20</v>
      </c>
      <c r="I16" s="37">
        <v>23</v>
      </c>
      <c r="J16" s="175">
        <v>920</v>
      </c>
      <c r="K16" s="175">
        <v>920.03</v>
      </c>
      <c r="L16" s="48">
        <v>920.02</v>
      </c>
      <c r="M16" s="175">
        <v>47.969189290000003</v>
      </c>
      <c r="N16" s="175">
        <v>49.06</v>
      </c>
      <c r="O16" s="175"/>
      <c r="P16" s="50"/>
      <c r="Q16" s="170">
        <v>815000</v>
      </c>
      <c r="R16" s="51">
        <v>0</v>
      </c>
      <c r="S16" s="42">
        <v>75600</v>
      </c>
      <c r="T16" s="42">
        <v>4030000</v>
      </c>
      <c r="U16" s="42">
        <v>537000</v>
      </c>
      <c r="V16" s="42">
        <v>93400</v>
      </c>
      <c r="W16" s="42">
        <v>10000000</v>
      </c>
      <c r="X16" s="42">
        <v>803000</v>
      </c>
      <c r="Y16" s="42">
        <v>334000</v>
      </c>
      <c r="Z16" s="40">
        <f t="shared" si="3"/>
        <v>1.0199528726635523</v>
      </c>
      <c r="AA16" s="40">
        <f t="shared" si="4"/>
        <v>0.66736577181208057</v>
      </c>
      <c r="AB16" s="40">
        <f t="shared" si="5"/>
        <v>0.67040283161975389</v>
      </c>
      <c r="AC16" s="38">
        <f t="shared" si="6"/>
        <v>17.731729231199818</v>
      </c>
      <c r="AD16" s="43">
        <f t="shared" si="7"/>
        <v>15.809354992210029</v>
      </c>
      <c r="AE16" s="167"/>
    </row>
    <row r="17" spans="1:31" x14ac:dyDescent="0.2">
      <c r="A17" s="36">
        <v>318</v>
      </c>
      <c r="B17" s="36" t="s">
        <v>230</v>
      </c>
      <c r="C17" s="36" t="s">
        <v>215</v>
      </c>
      <c r="D17" s="48">
        <v>98</v>
      </c>
      <c r="E17" s="48" t="s">
        <v>231</v>
      </c>
      <c r="F17" s="48">
        <v>1</v>
      </c>
      <c r="G17" s="48" t="s">
        <v>233</v>
      </c>
      <c r="H17" s="49">
        <v>100</v>
      </c>
      <c r="I17" s="37">
        <v>103</v>
      </c>
      <c r="J17" s="175">
        <v>920.8</v>
      </c>
      <c r="K17" s="175">
        <v>920.83</v>
      </c>
      <c r="L17" s="48">
        <v>920.82</v>
      </c>
      <c r="M17" s="175"/>
      <c r="N17" s="175"/>
      <c r="O17" s="175"/>
      <c r="P17" s="50"/>
      <c r="Q17" s="170">
        <v>48300</v>
      </c>
      <c r="R17" s="51">
        <v>0</v>
      </c>
      <c r="S17" s="42">
        <v>51500</v>
      </c>
      <c r="T17" s="42">
        <v>270000</v>
      </c>
      <c r="U17" s="42">
        <v>46300</v>
      </c>
      <c r="V17" s="51">
        <v>0</v>
      </c>
      <c r="W17" s="42">
        <v>1600000</v>
      </c>
      <c r="X17" s="42">
        <v>83300</v>
      </c>
      <c r="Y17" s="42">
        <v>63700</v>
      </c>
      <c r="Z17" s="40">
        <f t="shared" si="3"/>
        <v>1.1592366050019245</v>
      </c>
      <c r="AA17" s="40">
        <f t="shared" si="4"/>
        <v>0.80763718736997825</v>
      </c>
      <c r="AB17" s="40">
        <f t="shared" si="5"/>
        <v>0.82733472248531914</v>
      </c>
      <c r="AC17" s="38">
        <f t="shared" si="6"/>
        <v>23.442997111730918</v>
      </c>
      <c r="AD17" s="43">
        <f t="shared" si="7"/>
        <v>19.884504846683981</v>
      </c>
      <c r="AE17" s="167"/>
    </row>
    <row r="18" spans="1:31" x14ac:dyDescent="0.2">
      <c r="A18" s="36">
        <v>318</v>
      </c>
      <c r="B18" s="36" t="s">
        <v>230</v>
      </c>
      <c r="C18" s="36" t="s">
        <v>215</v>
      </c>
      <c r="D18" s="48">
        <v>98</v>
      </c>
      <c r="E18" s="48" t="s">
        <v>231</v>
      </c>
      <c r="F18" s="48">
        <v>2</v>
      </c>
      <c r="G18" s="48" t="s">
        <v>233</v>
      </c>
      <c r="H18" s="49">
        <v>40</v>
      </c>
      <c r="I18" s="37">
        <v>43</v>
      </c>
      <c r="J18" s="175">
        <v>921.35</v>
      </c>
      <c r="K18" s="175">
        <v>921.38</v>
      </c>
      <c r="L18" s="48">
        <v>921.37</v>
      </c>
      <c r="M18" s="175">
        <v>48.02213622</v>
      </c>
      <c r="N18" s="175">
        <v>49.12</v>
      </c>
      <c r="O18" s="175"/>
      <c r="P18" s="50"/>
      <c r="Q18" s="170">
        <v>547000</v>
      </c>
      <c r="R18" s="51">
        <v>0</v>
      </c>
      <c r="S18" s="42">
        <v>86600</v>
      </c>
      <c r="T18" s="42">
        <v>2970000</v>
      </c>
      <c r="U18" s="42">
        <v>424000</v>
      </c>
      <c r="V18" s="42">
        <v>96300</v>
      </c>
      <c r="W18" s="42">
        <v>8210000</v>
      </c>
      <c r="X18" s="42">
        <v>661000</v>
      </c>
      <c r="Y18" s="42">
        <v>300000</v>
      </c>
      <c r="Z18" s="40">
        <f t="shared" si="3"/>
        <v>1.0130120653658561</v>
      </c>
      <c r="AA18" s="40">
        <f t="shared" si="4"/>
        <v>0.68981338708828199</v>
      </c>
      <c r="AB18" s="40">
        <f t="shared" si="5"/>
        <v>0.69433613712589815</v>
      </c>
      <c r="AC18" s="38">
        <f t="shared" si="6"/>
        <v>18.919006543243345</v>
      </c>
      <c r="AD18" s="43">
        <f t="shared" si="7"/>
        <v>16.590641840278437</v>
      </c>
      <c r="AE18" s="167"/>
    </row>
    <row r="19" spans="1:31" x14ac:dyDescent="0.2">
      <c r="A19" s="36">
        <v>318</v>
      </c>
      <c r="B19" s="36" t="s">
        <v>230</v>
      </c>
      <c r="C19" s="36" t="s">
        <v>215</v>
      </c>
      <c r="D19" s="48">
        <v>99</v>
      </c>
      <c r="E19" s="48" t="s">
        <v>231</v>
      </c>
      <c r="F19" s="48">
        <v>1</v>
      </c>
      <c r="G19" s="48" t="s">
        <v>233</v>
      </c>
      <c r="H19" s="49">
        <v>62</v>
      </c>
      <c r="I19" s="37">
        <v>65</v>
      </c>
      <c r="J19" s="175">
        <v>930.05</v>
      </c>
      <c r="K19" s="175">
        <v>930.08</v>
      </c>
      <c r="L19" s="48">
        <v>930.07</v>
      </c>
      <c r="M19" s="175">
        <v>48.372291019999999</v>
      </c>
      <c r="N19" s="198">
        <v>49.55</v>
      </c>
      <c r="O19" s="198" t="s">
        <v>602</v>
      </c>
      <c r="P19" s="50"/>
      <c r="Q19" s="170">
        <v>519000</v>
      </c>
      <c r="R19" s="42">
        <v>39500</v>
      </c>
      <c r="S19" s="42">
        <v>32900</v>
      </c>
      <c r="T19" s="42">
        <v>2950000</v>
      </c>
      <c r="U19" s="42">
        <v>374000</v>
      </c>
      <c r="V19" s="42">
        <v>80300</v>
      </c>
      <c r="W19" s="42">
        <v>8470000</v>
      </c>
      <c r="X19" s="42">
        <v>683000</v>
      </c>
      <c r="Y19" s="42">
        <v>306000</v>
      </c>
      <c r="Z19" s="40">
        <f t="shared" si="3"/>
        <v>1.033591116602403</v>
      </c>
      <c r="AA19" s="40">
        <f t="shared" si="4"/>
        <v>0.70302570848848356</v>
      </c>
      <c r="AB19" s="40">
        <f t="shared" si="5"/>
        <v>0.70682916987363908</v>
      </c>
      <c r="AC19" s="621">
        <f t="shared" si="6"/>
        <v>19.38720848419171</v>
      </c>
      <c r="AD19" s="622">
        <f t="shared" si="7"/>
        <v>16.861242634947189</v>
      </c>
      <c r="AE19" s="167"/>
    </row>
    <row r="20" spans="1:31" x14ac:dyDescent="0.2">
      <c r="A20" s="36">
        <v>318</v>
      </c>
      <c r="B20" s="36" t="s">
        <v>230</v>
      </c>
      <c r="C20" s="36" t="s">
        <v>215</v>
      </c>
      <c r="D20" s="48">
        <v>99</v>
      </c>
      <c r="E20" s="48" t="s">
        <v>231</v>
      </c>
      <c r="F20" s="48">
        <v>1</v>
      </c>
      <c r="G20" s="48" t="s">
        <v>233</v>
      </c>
      <c r="H20" s="49">
        <v>102</v>
      </c>
      <c r="I20" s="37">
        <v>105</v>
      </c>
      <c r="J20" s="175">
        <v>930.42</v>
      </c>
      <c r="K20" s="175">
        <v>930.45</v>
      </c>
      <c r="L20" s="48">
        <v>930.44</v>
      </c>
      <c r="M20" s="175">
        <v>48.387182660000001</v>
      </c>
      <c r="N20" s="198">
        <v>49.570108502663253</v>
      </c>
      <c r="O20" s="198" t="s">
        <v>602</v>
      </c>
      <c r="P20" s="50"/>
      <c r="Q20" s="170">
        <v>190000</v>
      </c>
      <c r="R20" s="51">
        <v>0</v>
      </c>
      <c r="S20" s="42">
        <v>14100</v>
      </c>
      <c r="T20" s="42">
        <v>1130000</v>
      </c>
      <c r="U20" s="42">
        <v>196000</v>
      </c>
      <c r="V20" s="42">
        <v>52900</v>
      </c>
      <c r="W20" s="42">
        <v>3970000</v>
      </c>
      <c r="X20" s="42">
        <v>350000</v>
      </c>
      <c r="Y20" s="42">
        <v>152000</v>
      </c>
      <c r="Z20" s="40">
        <f t="shared" si="3"/>
        <v>0.9703775333931991</v>
      </c>
      <c r="AA20" s="40">
        <f t="shared" si="4"/>
        <v>0.73856317093311308</v>
      </c>
      <c r="AB20" s="40">
        <f t="shared" si="5"/>
        <v>0.74028704332135942</v>
      </c>
      <c r="AC20" s="621">
        <f t="shared" si="6"/>
        <v>21.755128609429242</v>
      </c>
      <c r="AD20" s="622">
        <f t="shared" si="7"/>
        <v>18.256857728622705</v>
      </c>
      <c r="AE20" s="167"/>
    </row>
    <row r="21" spans="1:31" x14ac:dyDescent="0.2">
      <c r="A21" s="36">
        <v>318</v>
      </c>
      <c r="B21" s="36" t="s">
        <v>230</v>
      </c>
      <c r="C21" s="36" t="s">
        <v>215</v>
      </c>
      <c r="D21" s="48">
        <v>99</v>
      </c>
      <c r="E21" s="48" t="s">
        <v>231</v>
      </c>
      <c r="F21" s="48">
        <v>2</v>
      </c>
      <c r="G21" s="48" t="s">
        <v>233</v>
      </c>
      <c r="H21" s="49">
        <v>20</v>
      </c>
      <c r="I21" s="37">
        <v>23</v>
      </c>
      <c r="J21" s="175">
        <v>931.08</v>
      </c>
      <c r="K21" s="175">
        <v>931.11</v>
      </c>
      <c r="L21" s="48">
        <v>931.1</v>
      </c>
      <c r="M21" s="175">
        <v>48.41374613</v>
      </c>
      <c r="N21" s="198">
        <v>49.602659301637409</v>
      </c>
      <c r="O21" s="198" t="s">
        <v>602</v>
      </c>
      <c r="P21" s="50"/>
      <c r="Q21" s="170">
        <v>247000</v>
      </c>
      <c r="R21" s="42">
        <v>33700</v>
      </c>
      <c r="S21" s="42">
        <v>25300</v>
      </c>
      <c r="T21" s="42">
        <v>1380000</v>
      </c>
      <c r="U21" s="42">
        <v>188000</v>
      </c>
      <c r="V21" s="42">
        <v>31400</v>
      </c>
      <c r="W21" s="42">
        <v>3910000</v>
      </c>
      <c r="X21" s="42">
        <v>297000</v>
      </c>
      <c r="Y21" s="42">
        <v>128000</v>
      </c>
      <c r="Z21" s="40">
        <f t="shared" si="3"/>
        <v>1.0377139334329222</v>
      </c>
      <c r="AA21" s="40">
        <f t="shared" si="4"/>
        <v>0.69466700852509455</v>
      </c>
      <c r="AB21" s="40">
        <f t="shared" si="5"/>
        <v>0.7012974407092244</v>
      </c>
      <c r="AC21" s="621">
        <f t="shared" si="6"/>
        <v>18.930725148656908</v>
      </c>
      <c r="AD21" s="622">
        <f t="shared" si="7"/>
        <v>16.666382659421288</v>
      </c>
      <c r="AE21" s="167"/>
    </row>
    <row r="22" spans="1:31" x14ac:dyDescent="0.2">
      <c r="A22" s="36">
        <v>318</v>
      </c>
      <c r="B22" s="36" t="s">
        <v>230</v>
      </c>
      <c r="C22" s="36" t="s">
        <v>215</v>
      </c>
      <c r="D22" s="48">
        <v>99</v>
      </c>
      <c r="E22" s="48" t="s">
        <v>231</v>
      </c>
      <c r="F22" s="48">
        <v>2</v>
      </c>
      <c r="G22" s="48" t="s">
        <v>233</v>
      </c>
      <c r="H22" s="49">
        <v>85</v>
      </c>
      <c r="I22" s="37">
        <v>87</v>
      </c>
      <c r="J22" s="175">
        <v>931.73</v>
      </c>
      <c r="K22" s="175">
        <v>931.76</v>
      </c>
      <c r="L22" s="48">
        <v>931.75</v>
      </c>
      <c r="M22" s="175">
        <v>48.439907120000001</v>
      </c>
      <c r="N22" s="198">
        <v>49.634716906687714</v>
      </c>
      <c r="O22" s="198" t="s">
        <v>602</v>
      </c>
      <c r="P22" s="50"/>
      <c r="Q22" s="170">
        <v>408000</v>
      </c>
      <c r="R22" s="42">
        <v>77300</v>
      </c>
      <c r="S22" s="42">
        <v>75100</v>
      </c>
      <c r="T22" s="42">
        <v>2330000</v>
      </c>
      <c r="U22" s="42">
        <v>342000</v>
      </c>
      <c r="V22" s="42">
        <v>91500</v>
      </c>
      <c r="W22" s="42">
        <v>8090000</v>
      </c>
      <c r="X22" s="42">
        <v>643000</v>
      </c>
      <c r="Y22" s="42">
        <v>310000</v>
      </c>
      <c r="Z22" s="40">
        <f t="shared" si="3"/>
        <v>1.0244314884658938</v>
      </c>
      <c r="AA22" s="40">
        <f t="shared" si="4"/>
        <v>0.73122609546450601</v>
      </c>
      <c r="AB22" s="40">
        <f t="shared" si="5"/>
        <v>0.74034958451021327</v>
      </c>
      <c r="AC22" s="621">
        <f t="shared" si="6"/>
        <v>20.882870356069194</v>
      </c>
      <c r="AD22" s="622">
        <f t="shared" si="7"/>
        <v>17.952310580214991</v>
      </c>
      <c r="AE22" s="167"/>
    </row>
    <row r="23" spans="1:31" x14ac:dyDescent="0.2">
      <c r="A23" s="36">
        <v>318</v>
      </c>
      <c r="B23" s="36" t="s">
        <v>230</v>
      </c>
      <c r="C23" s="36" t="s">
        <v>215</v>
      </c>
      <c r="D23" s="48">
        <v>99</v>
      </c>
      <c r="E23" s="48" t="s">
        <v>231</v>
      </c>
      <c r="F23" s="48">
        <v>3</v>
      </c>
      <c r="G23" s="48" t="s">
        <v>233</v>
      </c>
      <c r="H23" s="49">
        <v>20</v>
      </c>
      <c r="I23" s="37">
        <v>23</v>
      </c>
      <c r="J23" s="175">
        <v>932.28</v>
      </c>
      <c r="K23" s="175">
        <v>932.30999999999983</v>
      </c>
      <c r="L23" s="48">
        <v>932.3</v>
      </c>
      <c r="M23" s="175">
        <v>48.462043340000001</v>
      </c>
      <c r="N23" s="198">
        <v>49.661842572499509</v>
      </c>
      <c r="O23" s="198" t="s">
        <v>602</v>
      </c>
      <c r="P23" s="50"/>
      <c r="Q23" s="170">
        <v>165000</v>
      </c>
      <c r="R23" s="42">
        <v>62000</v>
      </c>
      <c r="S23" s="51">
        <v>0</v>
      </c>
      <c r="T23" s="42">
        <v>1020000</v>
      </c>
      <c r="U23" s="42">
        <v>149000</v>
      </c>
      <c r="V23" s="42">
        <v>40500</v>
      </c>
      <c r="W23" s="42">
        <v>3480000</v>
      </c>
      <c r="X23" s="42">
        <v>291000</v>
      </c>
      <c r="Y23" s="42">
        <v>118000</v>
      </c>
      <c r="Z23" s="40">
        <f t="shared" si="3"/>
        <v>1.0097598372891563</v>
      </c>
      <c r="AA23" s="40">
        <f t="shared" si="4"/>
        <v>0.73026006947704436</v>
      </c>
      <c r="AB23" s="40">
        <f t="shared" si="5"/>
        <v>0.73886197397169184</v>
      </c>
      <c r="AC23" s="621">
        <f t="shared" si="6"/>
        <v>20.97174899519861</v>
      </c>
      <c r="AD23" s="622">
        <f t="shared" si="7"/>
        <v>17.989382915692932</v>
      </c>
      <c r="AE23" s="167"/>
    </row>
    <row r="24" spans="1:31" x14ac:dyDescent="0.2">
      <c r="A24" s="36">
        <v>318</v>
      </c>
      <c r="B24" s="36" t="s">
        <v>230</v>
      </c>
      <c r="C24" s="36" t="s">
        <v>215</v>
      </c>
      <c r="D24" s="48">
        <v>99</v>
      </c>
      <c r="E24" s="48" t="s">
        <v>231</v>
      </c>
      <c r="F24" s="48">
        <v>3</v>
      </c>
      <c r="G24" s="48" t="s">
        <v>233</v>
      </c>
      <c r="H24" s="49">
        <v>60</v>
      </c>
      <c r="I24" s="37">
        <v>63</v>
      </c>
      <c r="J24" s="175">
        <v>932.68</v>
      </c>
      <c r="K24" s="175">
        <v>932.71</v>
      </c>
      <c r="L24" s="48">
        <v>932.7</v>
      </c>
      <c r="M24" s="175">
        <v>48.478142409999997</v>
      </c>
      <c r="N24" s="198">
        <v>49.68157032945355</v>
      </c>
      <c r="O24" s="198" t="s">
        <v>602</v>
      </c>
      <c r="P24" s="50"/>
      <c r="Q24" s="170">
        <v>1300000</v>
      </c>
      <c r="R24" s="51">
        <v>0</v>
      </c>
      <c r="S24" s="51">
        <v>0</v>
      </c>
      <c r="T24" s="42">
        <v>6890000</v>
      </c>
      <c r="U24" s="42">
        <v>869000</v>
      </c>
      <c r="V24" s="42">
        <v>219000</v>
      </c>
      <c r="W24" s="42">
        <v>19100000</v>
      </c>
      <c r="X24" s="42">
        <v>1660000</v>
      </c>
      <c r="Y24" s="42">
        <v>729000</v>
      </c>
      <c r="Z24" s="40">
        <f t="shared" si="3"/>
        <v>1.0118574501566078</v>
      </c>
      <c r="AA24" s="40">
        <f t="shared" si="4"/>
        <v>0.69844313712744177</v>
      </c>
      <c r="AB24" s="40">
        <f t="shared" si="5"/>
        <v>0.69844313712744177</v>
      </c>
      <c r="AC24" s="621">
        <f t="shared" si="6"/>
        <v>19.361289697407809</v>
      </c>
      <c r="AD24" s="622">
        <f t="shared" si="7"/>
        <v>16.724505508562729</v>
      </c>
      <c r="AE24" s="167"/>
    </row>
    <row r="25" spans="1:31" x14ac:dyDescent="0.2">
      <c r="A25" s="36">
        <v>318</v>
      </c>
      <c r="B25" s="36" t="s">
        <v>230</v>
      </c>
      <c r="C25" s="36" t="s">
        <v>215</v>
      </c>
      <c r="D25" s="48">
        <v>100</v>
      </c>
      <c r="E25" s="48" t="s">
        <v>231</v>
      </c>
      <c r="F25" s="48">
        <v>1</v>
      </c>
      <c r="G25" s="48" t="s">
        <v>233</v>
      </c>
      <c r="H25" s="49">
        <v>10</v>
      </c>
      <c r="I25" s="37">
        <v>13</v>
      </c>
      <c r="J25" s="175">
        <v>939.2</v>
      </c>
      <c r="K25" s="175">
        <v>939.23</v>
      </c>
      <c r="L25" s="48">
        <v>939.22</v>
      </c>
      <c r="M25" s="175">
        <v>48.740557279999997</v>
      </c>
      <c r="N25" s="198">
        <v>50.003132767804303</v>
      </c>
      <c r="O25" s="198" t="s">
        <v>602</v>
      </c>
      <c r="P25" s="50"/>
      <c r="Q25" s="170">
        <v>346000</v>
      </c>
      <c r="R25" s="51">
        <v>0</v>
      </c>
      <c r="S25" s="51">
        <v>0</v>
      </c>
      <c r="T25" s="42">
        <v>1650000</v>
      </c>
      <c r="U25" s="42">
        <v>206000</v>
      </c>
      <c r="V25" s="42">
        <v>48200</v>
      </c>
      <c r="W25" s="42">
        <v>4280000</v>
      </c>
      <c r="X25" s="42">
        <v>344000</v>
      </c>
      <c r="Y25" s="42">
        <v>155000</v>
      </c>
      <c r="Z25" s="40">
        <f t="shared" si="3"/>
        <v>1.0326920038700187</v>
      </c>
      <c r="AA25" s="40">
        <f t="shared" si="4"/>
        <v>0.67987822227280492</v>
      </c>
      <c r="AB25" s="40">
        <f t="shared" si="5"/>
        <v>0.67987822227280492</v>
      </c>
      <c r="AC25" s="621">
        <f t="shared" si="6"/>
        <v>18.238240877455571</v>
      </c>
      <c r="AD25" s="622">
        <f t="shared" si="7"/>
        <v>16.030861228513949</v>
      </c>
      <c r="AE25" s="167"/>
    </row>
    <row r="26" spans="1:31" x14ac:dyDescent="0.2">
      <c r="A26" s="36">
        <v>318</v>
      </c>
      <c r="B26" s="36" t="s">
        <v>230</v>
      </c>
      <c r="C26" s="36" t="s">
        <v>215</v>
      </c>
      <c r="D26" s="48">
        <v>100</v>
      </c>
      <c r="E26" s="48" t="s">
        <v>231</v>
      </c>
      <c r="F26" s="48">
        <v>1</v>
      </c>
      <c r="G26" s="48" t="s">
        <v>233</v>
      </c>
      <c r="H26" s="49">
        <v>24</v>
      </c>
      <c r="I26" s="37">
        <v>27</v>
      </c>
      <c r="J26" s="175">
        <v>939.34</v>
      </c>
      <c r="K26" s="175">
        <v>939.37</v>
      </c>
      <c r="L26" s="48">
        <v>939.36</v>
      </c>
      <c r="M26" s="175">
        <v>48.746191949999996</v>
      </c>
      <c r="N26" s="198">
        <v>50.01003748273822</v>
      </c>
      <c r="O26" s="198" t="s">
        <v>602</v>
      </c>
      <c r="P26" s="50"/>
      <c r="Q26" s="170">
        <v>612000</v>
      </c>
      <c r="R26" s="42">
        <v>108000</v>
      </c>
      <c r="S26" s="42">
        <v>109000</v>
      </c>
      <c r="T26" s="42">
        <v>3150000</v>
      </c>
      <c r="U26" s="42">
        <v>417000</v>
      </c>
      <c r="V26" s="42">
        <v>68500</v>
      </c>
      <c r="W26" s="42">
        <v>8200000</v>
      </c>
      <c r="X26" s="42">
        <v>680000</v>
      </c>
      <c r="Y26" s="42">
        <v>298000</v>
      </c>
      <c r="Z26" s="40">
        <f t="shared" si="3"/>
        <v>1.0147892339544304</v>
      </c>
      <c r="AA26" s="40">
        <f t="shared" si="4"/>
        <v>0.6727505955653289</v>
      </c>
      <c r="AB26" s="40">
        <f t="shared" si="5"/>
        <v>0.68362444601690808</v>
      </c>
      <c r="AC26" s="621">
        <f t="shared" si="6"/>
        <v>18.04925044079252</v>
      </c>
      <c r="AD26" s="622">
        <f t="shared" si="7"/>
        <v>16.248502870002532</v>
      </c>
      <c r="AE26" s="167"/>
    </row>
    <row r="27" spans="1:31" x14ac:dyDescent="0.2">
      <c r="A27" s="36">
        <v>318</v>
      </c>
      <c r="B27" s="36" t="s">
        <v>230</v>
      </c>
      <c r="C27" s="36" t="s">
        <v>215</v>
      </c>
      <c r="D27" s="48">
        <v>100</v>
      </c>
      <c r="E27" s="48" t="s">
        <v>231</v>
      </c>
      <c r="F27" s="48">
        <v>1</v>
      </c>
      <c r="G27" s="48" t="s">
        <v>233</v>
      </c>
      <c r="H27" s="49">
        <v>84</v>
      </c>
      <c r="I27" s="37">
        <v>87</v>
      </c>
      <c r="J27" s="175">
        <v>939.94</v>
      </c>
      <c r="K27" s="175">
        <v>939.97</v>
      </c>
      <c r="L27" s="48">
        <v>939.96</v>
      </c>
      <c r="M27" s="175">
        <v>48.770340560000001</v>
      </c>
      <c r="N27" s="198">
        <v>50.039629118169266</v>
      </c>
      <c r="O27" s="198" t="s">
        <v>602</v>
      </c>
      <c r="P27" s="50"/>
      <c r="Q27" s="171">
        <v>1250000</v>
      </c>
      <c r="R27" s="51">
        <v>0</v>
      </c>
      <c r="S27" s="42">
        <v>55500</v>
      </c>
      <c r="T27" s="42">
        <v>7320000</v>
      </c>
      <c r="U27" s="42">
        <v>956000</v>
      </c>
      <c r="V27" s="42">
        <v>241000</v>
      </c>
      <c r="W27" s="42">
        <v>21200000</v>
      </c>
      <c r="X27" s="42">
        <v>2180000</v>
      </c>
      <c r="Y27" s="42">
        <v>971000</v>
      </c>
      <c r="Z27" s="40">
        <f t="shared" si="3"/>
        <v>0.95877346716742717</v>
      </c>
      <c r="AA27" s="40">
        <f t="shared" si="4"/>
        <v>0.71256968118571407</v>
      </c>
      <c r="AB27" s="40">
        <f t="shared" si="5"/>
        <v>0.71372882349492939</v>
      </c>
      <c r="AC27" s="621">
        <f t="shared" si="6"/>
        <v>20.56395214127026</v>
      </c>
      <c r="AD27" s="622">
        <f t="shared" si="7"/>
        <v>17.4993479695035</v>
      </c>
      <c r="AE27" s="167"/>
    </row>
    <row r="28" spans="1:31" x14ac:dyDescent="0.2">
      <c r="A28" s="36">
        <v>318</v>
      </c>
      <c r="B28" s="36" t="s">
        <v>230</v>
      </c>
      <c r="C28" s="36" t="s">
        <v>215</v>
      </c>
      <c r="D28" s="48">
        <v>100</v>
      </c>
      <c r="E28" s="48" t="s">
        <v>231</v>
      </c>
      <c r="F28" s="48">
        <v>1</v>
      </c>
      <c r="G28" s="48" t="s">
        <v>233</v>
      </c>
      <c r="H28" s="49">
        <v>104</v>
      </c>
      <c r="I28" s="37">
        <v>107</v>
      </c>
      <c r="J28" s="175">
        <v>940.14</v>
      </c>
      <c r="K28" s="175">
        <v>940.17</v>
      </c>
      <c r="L28" s="48">
        <v>940.16</v>
      </c>
      <c r="M28" s="175">
        <v>48.778390090000002</v>
      </c>
      <c r="N28" s="198">
        <v>50.049492996646286</v>
      </c>
      <c r="O28" s="198" t="s">
        <v>602</v>
      </c>
      <c r="P28" s="50"/>
      <c r="Q28" s="171">
        <v>1010000</v>
      </c>
      <c r="R28" s="51">
        <v>0</v>
      </c>
      <c r="S28" s="51">
        <v>0</v>
      </c>
      <c r="T28" s="42">
        <v>6460000</v>
      </c>
      <c r="U28" s="42">
        <v>760000</v>
      </c>
      <c r="V28" s="42">
        <v>178000</v>
      </c>
      <c r="W28" s="42">
        <v>17500000</v>
      </c>
      <c r="X28" s="42">
        <v>1500000</v>
      </c>
      <c r="Y28" s="42">
        <v>910000</v>
      </c>
      <c r="Z28" s="40">
        <f t="shared" si="3"/>
        <v>1.0253783745698728</v>
      </c>
      <c r="AA28" s="40">
        <f t="shared" si="4"/>
        <v>0.70308637615650826</v>
      </c>
      <c r="AB28" s="40">
        <f t="shared" si="5"/>
        <v>0.70308637615650826</v>
      </c>
      <c r="AC28" s="621">
        <f t="shared" si="6"/>
        <v>19.4670310055971</v>
      </c>
      <c r="AD28" s="622">
        <f t="shared" si="7"/>
        <v>16.791782277040575</v>
      </c>
      <c r="AE28" s="167"/>
    </row>
    <row r="29" spans="1:31" x14ac:dyDescent="0.2">
      <c r="A29" s="36">
        <v>318</v>
      </c>
      <c r="B29" s="36" t="s">
        <v>230</v>
      </c>
      <c r="C29" s="36" t="s">
        <v>215</v>
      </c>
      <c r="D29" s="36">
        <v>101</v>
      </c>
      <c r="E29" s="36" t="s">
        <v>231</v>
      </c>
      <c r="F29" s="36">
        <v>1</v>
      </c>
      <c r="G29" s="36" t="s">
        <v>233</v>
      </c>
      <c r="H29" s="52">
        <v>5</v>
      </c>
      <c r="I29" s="53">
        <v>7</v>
      </c>
      <c r="J29" s="176">
        <v>948.85</v>
      </c>
      <c r="K29" s="176">
        <v>948.87</v>
      </c>
      <c r="L29" s="176">
        <v>948.86</v>
      </c>
      <c r="M29" s="175">
        <v>51.5</v>
      </c>
      <c r="N29" s="198">
        <v>50.48</v>
      </c>
      <c r="O29" s="198" t="s">
        <v>602</v>
      </c>
      <c r="P29" s="50"/>
      <c r="Q29" s="172">
        <v>87100</v>
      </c>
      <c r="R29" s="51">
        <v>0</v>
      </c>
      <c r="S29" s="55">
        <v>0</v>
      </c>
      <c r="T29" s="55">
        <v>214000</v>
      </c>
      <c r="U29" s="55">
        <v>37500</v>
      </c>
      <c r="V29" s="55">
        <v>11800</v>
      </c>
      <c r="W29" s="55">
        <v>1330000</v>
      </c>
      <c r="X29" s="55">
        <v>71600</v>
      </c>
      <c r="Y29" s="55">
        <v>50100</v>
      </c>
      <c r="Z29" s="40">
        <f t="shared" ref="Z29:Z84" si="8">-LOG((X29+U29)/(W29+T29))</f>
        <v>1.1508225454113754</v>
      </c>
      <c r="AA29" s="40">
        <f t="shared" ref="AA29:AA84" si="9">SUM(W29:Y29)/SUM(Q29:Y29)</f>
        <v>0.80556017979024475</v>
      </c>
      <c r="AB29" s="40">
        <f t="shared" si="5"/>
        <v>0.80556017979024475</v>
      </c>
      <c r="AC29" s="621">
        <f t="shared" ref="AC29:AC84" si="10">50*(AA29-0.122-(0.187*Z29))</f>
        <v>23.417818189915877</v>
      </c>
      <c r="AD29" s="622">
        <f t="shared" si="7"/>
        <v>19.257201741015088</v>
      </c>
      <c r="AE29" s="167"/>
    </row>
    <row r="30" spans="1:31" x14ac:dyDescent="0.2">
      <c r="A30" s="36">
        <v>318</v>
      </c>
      <c r="B30" s="36" t="s">
        <v>230</v>
      </c>
      <c r="C30" s="36" t="s">
        <v>215</v>
      </c>
      <c r="D30" s="36">
        <v>101</v>
      </c>
      <c r="E30" s="36" t="s">
        <v>231</v>
      </c>
      <c r="F30" s="36">
        <v>1</v>
      </c>
      <c r="G30" s="36" t="s">
        <v>233</v>
      </c>
      <c r="H30" s="52">
        <v>35</v>
      </c>
      <c r="I30" s="53">
        <v>37</v>
      </c>
      <c r="J30" s="176">
        <v>949.15</v>
      </c>
      <c r="K30" s="176">
        <v>949.17</v>
      </c>
      <c r="L30" s="176">
        <v>949.16</v>
      </c>
      <c r="M30" s="175"/>
      <c r="N30" s="198"/>
      <c r="O30" s="198" t="s">
        <v>602</v>
      </c>
      <c r="P30" s="50"/>
      <c r="Q30" s="173">
        <v>73900</v>
      </c>
      <c r="R30" s="51">
        <v>12800</v>
      </c>
      <c r="S30" s="55">
        <v>0</v>
      </c>
      <c r="T30" s="55">
        <v>119000</v>
      </c>
      <c r="U30" s="55">
        <v>36500</v>
      </c>
      <c r="V30" s="55">
        <v>0</v>
      </c>
      <c r="W30" s="55">
        <v>1670000</v>
      </c>
      <c r="X30" s="55">
        <v>64000</v>
      </c>
      <c r="Y30" s="55">
        <v>34600</v>
      </c>
      <c r="Z30" s="40">
        <f t="shared" si="8"/>
        <v>1.2504442788108654</v>
      </c>
      <c r="AA30" s="40">
        <f t="shared" si="9"/>
        <v>0.87955042769047143</v>
      </c>
      <c r="AB30" s="40">
        <f t="shared" si="5"/>
        <v>0.88518518518518519</v>
      </c>
      <c r="AC30" s="621">
        <f t="shared" si="10"/>
        <v>26.18586737764198</v>
      </c>
      <c r="AD30" s="622">
        <f t="shared" si="7"/>
        <v>21.160721679883132</v>
      </c>
      <c r="AE30" s="167"/>
    </row>
    <row r="31" spans="1:31" x14ac:dyDescent="0.2">
      <c r="A31" s="36">
        <v>318</v>
      </c>
      <c r="B31" s="36" t="s">
        <v>230</v>
      </c>
      <c r="C31" s="36" t="s">
        <v>215</v>
      </c>
      <c r="D31" s="36">
        <v>101</v>
      </c>
      <c r="E31" s="36" t="s">
        <v>231</v>
      </c>
      <c r="F31" s="36">
        <v>1</v>
      </c>
      <c r="G31" s="36" t="s">
        <v>233</v>
      </c>
      <c r="H31" s="52">
        <v>65</v>
      </c>
      <c r="I31" s="53">
        <v>67</v>
      </c>
      <c r="J31" s="176">
        <v>949.45</v>
      </c>
      <c r="K31" s="176">
        <v>949.47</v>
      </c>
      <c r="L31" s="176">
        <v>949.46</v>
      </c>
      <c r="M31" s="175"/>
      <c r="N31" s="198"/>
      <c r="O31" s="198" t="s">
        <v>602</v>
      </c>
      <c r="P31" s="50"/>
      <c r="Q31" s="173">
        <v>35800</v>
      </c>
      <c r="R31" s="51">
        <v>0</v>
      </c>
      <c r="S31" s="55">
        <v>0</v>
      </c>
      <c r="T31" s="55">
        <v>95400</v>
      </c>
      <c r="U31" s="55">
        <v>27800</v>
      </c>
      <c r="V31" s="55">
        <v>0</v>
      </c>
      <c r="W31" s="55">
        <v>1180000</v>
      </c>
      <c r="X31" s="55">
        <v>41800</v>
      </c>
      <c r="Y31" s="55">
        <v>27500</v>
      </c>
      <c r="Z31" s="40">
        <f t="shared" si="8"/>
        <v>1.2630371730406742</v>
      </c>
      <c r="AA31" s="40">
        <f t="shared" si="9"/>
        <v>0.88709791947738403</v>
      </c>
      <c r="AB31" s="40">
        <f t="shared" si="5"/>
        <v>0.88709791947738403</v>
      </c>
      <c r="AC31" s="621">
        <f t="shared" si="10"/>
        <v>26.445498405938899</v>
      </c>
      <c r="AD31" s="622">
        <f t="shared" si="7"/>
        <v>21.148614732658281</v>
      </c>
      <c r="AE31" s="167"/>
    </row>
    <row r="32" spans="1:31" x14ac:dyDescent="0.2">
      <c r="A32" s="36">
        <v>318</v>
      </c>
      <c r="B32" s="36" t="s">
        <v>230</v>
      </c>
      <c r="C32" s="36" t="s">
        <v>215</v>
      </c>
      <c r="D32" s="36">
        <v>101</v>
      </c>
      <c r="E32" s="36" t="s">
        <v>231</v>
      </c>
      <c r="F32" s="36">
        <v>1</v>
      </c>
      <c r="G32" s="36" t="s">
        <v>233</v>
      </c>
      <c r="H32" s="52">
        <v>95</v>
      </c>
      <c r="I32" s="53">
        <v>97</v>
      </c>
      <c r="J32" s="176">
        <v>949.75</v>
      </c>
      <c r="K32" s="176">
        <v>949.77</v>
      </c>
      <c r="L32" s="176">
        <v>949.76</v>
      </c>
      <c r="M32" s="175"/>
      <c r="N32" s="198"/>
      <c r="O32" s="198" t="s">
        <v>602</v>
      </c>
      <c r="P32" s="50"/>
      <c r="Q32" s="173">
        <v>49600</v>
      </c>
      <c r="R32" s="51">
        <v>0</v>
      </c>
      <c r="S32" s="55">
        <v>0</v>
      </c>
      <c r="T32" s="55">
        <v>90700</v>
      </c>
      <c r="U32" s="55">
        <v>29900</v>
      </c>
      <c r="V32" s="55">
        <v>0</v>
      </c>
      <c r="W32" s="55">
        <v>1220000</v>
      </c>
      <c r="X32" s="55">
        <v>39700</v>
      </c>
      <c r="Y32" s="55">
        <v>30300</v>
      </c>
      <c r="Z32" s="40">
        <f t="shared" si="8"/>
        <v>1.2748940598186689</v>
      </c>
      <c r="AA32" s="40">
        <f t="shared" si="9"/>
        <v>0.88344062457197647</v>
      </c>
      <c r="AB32" s="40">
        <f t="shared" si="5"/>
        <v>0.88344062457197647</v>
      </c>
      <c r="AC32" s="621">
        <f t="shared" si="10"/>
        <v>26.151771769294268</v>
      </c>
      <c r="AD32" s="622">
        <f t="shared" si="7"/>
        <v>20.96801004255942</v>
      </c>
      <c r="AE32" s="167"/>
    </row>
    <row r="33" spans="1:31" x14ac:dyDescent="0.2">
      <c r="A33" s="36">
        <v>318</v>
      </c>
      <c r="B33" s="36" t="s">
        <v>230</v>
      </c>
      <c r="C33" s="36" t="s">
        <v>215</v>
      </c>
      <c r="D33" s="36">
        <v>101</v>
      </c>
      <c r="E33" s="36" t="s">
        <v>231</v>
      </c>
      <c r="F33" s="36">
        <v>1</v>
      </c>
      <c r="G33" s="36" t="s">
        <v>233</v>
      </c>
      <c r="H33" s="52">
        <v>125</v>
      </c>
      <c r="I33" s="53">
        <v>126</v>
      </c>
      <c r="J33" s="176">
        <v>950.05</v>
      </c>
      <c r="K33" s="176">
        <v>950.06</v>
      </c>
      <c r="L33" s="176">
        <v>950.05499999999995</v>
      </c>
      <c r="M33" s="175"/>
      <c r="N33" s="198"/>
      <c r="O33" s="198" t="s">
        <v>602</v>
      </c>
      <c r="P33" s="50"/>
      <c r="Q33" s="173">
        <v>70700</v>
      </c>
      <c r="R33" s="51">
        <v>10200</v>
      </c>
      <c r="S33" s="55">
        <v>0</v>
      </c>
      <c r="T33" s="55">
        <v>139000</v>
      </c>
      <c r="U33" s="55">
        <v>42600</v>
      </c>
      <c r="V33" s="55">
        <v>12800</v>
      </c>
      <c r="W33" s="55">
        <v>1910000</v>
      </c>
      <c r="X33" s="55">
        <v>79400</v>
      </c>
      <c r="Y33" s="55">
        <v>82500</v>
      </c>
      <c r="Z33" s="40">
        <f t="shared" si="8"/>
        <v>1.2251821277264467</v>
      </c>
      <c r="AA33" s="40">
        <f t="shared" si="9"/>
        <v>0.88271131561008864</v>
      </c>
      <c r="AB33" s="40">
        <f t="shared" si="5"/>
        <v>0.88656397090286687</v>
      </c>
      <c r="AC33" s="621">
        <f t="shared" si="10"/>
        <v>26.580112886262153</v>
      </c>
      <c r="AD33" s="622">
        <f t="shared" si="7"/>
        <v>21.346700433779922</v>
      </c>
      <c r="AE33" s="167"/>
    </row>
    <row r="34" spans="1:31" x14ac:dyDescent="0.2">
      <c r="A34" s="36">
        <v>318</v>
      </c>
      <c r="B34" s="36" t="s">
        <v>230</v>
      </c>
      <c r="C34" s="36" t="s">
        <v>215</v>
      </c>
      <c r="D34" s="36">
        <v>101</v>
      </c>
      <c r="E34" s="36" t="s">
        <v>231</v>
      </c>
      <c r="F34" s="36">
        <v>2</v>
      </c>
      <c r="G34" s="36" t="s">
        <v>233</v>
      </c>
      <c r="H34" s="52">
        <v>5</v>
      </c>
      <c r="I34" s="53">
        <v>7</v>
      </c>
      <c r="J34" s="177">
        <v>950.35</v>
      </c>
      <c r="K34" s="177">
        <v>950.37</v>
      </c>
      <c r="L34" s="176">
        <v>950.36</v>
      </c>
      <c r="M34" s="175"/>
      <c r="N34" s="198"/>
      <c r="O34" s="198" t="s">
        <v>602</v>
      </c>
      <c r="P34" s="50"/>
      <c r="Q34" s="174">
        <v>128000</v>
      </c>
      <c r="R34" s="55">
        <v>0</v>
      </c>
      <c r="S34" s="55">
        <v>0</v>
      </c>
      <c r="T34" s="55">
        <v>254000</v>
      </c>
      <c r="U34" s="55">
        <v>72300</v>
      </c>
      <c r="V34" s="55">
        <v>23600</v>
      </c>
      <c r="W34" s="55">
        <v>3200000</v>
      </c>
      <c r="X34" s="55">
        <v>155000</v>
      </c>
      <c r="Y34" s="55">
        <v>100000</v>
      </c>
      <c r="Z34" s="40">
        <f t="shared" si="8"/>
        <v>1.1817228975064691</v>
      </c>
      <c r="AA34" s="40">
        <f t="shared" si="9"/>
        <v>0.8784866129319332</v>
      </c>
      <c r="AB34" s="40">
        <f t="shared" si="5"/>
        <v>0.8784866129319332</v>
      </c>
      <c r="AC34" s="621">
        <f t="shared" si="10"/>
        <v>26.775221554911177</v>
      </c>
      <c r="AD34" s="622">
        <f t="shared" si="7"/>
        <v>21.342716172028247</v>
      </c>
      <c r="AE34" s="167"/>
    </row>
    <row r="35" spans="1:31" x14ac:dyDescent="0.2">
      <c r="A35" s="36">
        <v>318</v>
      </c>
      <c r="B35" s="36" t="s">
        <v>230</v>
      </c>
      <c r="C35" s="36" t="s">
        <v>215</v>
      </c>
      <c r="D35" s="36">
        <v>101</v>
      </c>
      <c r="E35" s="36" t="s">
        <v>231</v>
      </c>
      <c r="F35" s="36">
        <v>2</v>
      </c>
      <c r="G35" s="36" t="s">
        <v>233</v>
      </c>
      <c r="H35" s="52">
        <v>35</v>
      </c>
      <c r="I35" s="53">
        <v>37</v>
      </c>
      <c r="J35" s="177">
        <v>950.65</v>
      </c>
      <c r="K35" s="177">
        <v>950.67</v>
      </c>
      <c r="L35" s="176">
        <v>950.66</v>
      </c>
      <c r="M35" s="175"/>
      <c r="N35" s="198"/>
      <c r="O35" s="198" t="s">
        <v>602</v>
      </c>
      <c r="P35" s="50"/>
      <c r="Q35" s="174">
        <v>65600</v>
      </c>
      <c r="R35" s="55">
        <v>0</v>
      </c>
      <c r="S35" s="55">
        <v>0</v>
      </c>
      <c r="T35" s="55">
        <v>112000</v>
      </c>
      <c r="U35" s="55">
        <v>32000</v>
      </c>
      <c r="V35" s="55">
        <v>0</v>
      </c>
      <c r="W35" s="55">
        <v>1990000</v>
      </c>
      <c r="X35" s="55">
        <v>67200</v>
      </c>
      <c r="Y35" s="55">
        <v>45000</v>
      </c>
      <c r="Z35" s="40">
        <f t="shared" si="8"/>
        <v>1.3261210395380447</v>
      </c>
      <c r="AA35" s="40">
        <f t="shared" si="9"/>
        <v>0.90933471753611905</v>
      </c>
      <c r="AB35" s="40">
        <f t="shared" si="5"/>
        <v>0.90933471753611905</v>
      </c>
      <c r="AC35" s="621">
        <f t="shared" si="10"/>
        <v>26.967504157125234</v>
      </c>
      <c r="AD35" s="622">
        <f t="shared" si="7"/>
        <v>21.480269949438977</v>
      </c>
      <c r="AE35" s="167"/>
    </row>
    <row r="36" spans="1:31" x14ac:dyDescent="0.2">
      <c r="A36" s="36">
        <v>318</v>
      </c>
      <c r="B36" s="36" t="s">
        <v>230</v>
      </c>
      <c r="C36" s="36" t="s">
        <v>215</v>
      </c>
      <c r="D36" s="36">
        <v>101</v>
      </c>
      <c r="E36" s="36" t="s">
        <v>231</v>
      </c>
      <c r="F36" s="36">
        <v>2</v>
      </c>
      <c r="G36" s="36" t="s">
        <v>233</v>
      </c>
      <c r="H36" s="52">
        <v>65</v>
      </c>
      <c r="I36" s="53">
        <v>67</v>
      </c>
      <c r="J36" s="177">
        <v>950.95</v>
      </c>
      <c r="K36" s="177">
        <v>950.97</v>
      </c>
      <c r="L36" s="176">
        <v>950.96</v>
      </c>
      <c r="M36" s="175"/>
      <c r="N36" s="198"/>
      <c r="O36" s="198" t="s">
        <v>602</v>
      </c>
      <c r="P36" s="50"/>
      <c r="Q36" s="174">
        <v>106000</v>
      </c>
      <c r="R36" s="55">
        <v>0</v>
      </c>
      <c r="S36" s="55">
        <v>0</v>
      </c>
      <c r="T36" s="55">
        <v>171000</v>
      </c>
      <c r="U36" s="55">
        <v>46700</v>
      </c>
      <c r="V36" s="55">
        <v>11200</v>
      </c>
      <c r="W36" s="55">
        <v>2600000</v>
      </c>
      <c r="X36" s="55">
        <v>94300</v>
      </c>
      <c r="Y36" s="55">
        <v>52200</v>
      </c>
      <c r="Z36" s="40">
        <f t="shared" si="8"/>
        <v>1.2934174131268519</v>
      </c>
      <c r="AA36" s="40">
        <f t="shared" si="9"/>
        <v>0.89131563574998374</v>
      </c>
      <c r="AB36" s="40">
        <f t="shared" si="5"/>
        <v>0.89131563574998374</v>
      </c>
      <c r="AC36" s="621">
        <f t="shared" si="10"/>
        <v>26.372328974763121</v>
      </c>
      <c r="AD36" s="622">
        <f t="shared" si="7"/>
        <v>21.107107975820249</v>
      </c>
      <c r="AE36" s="167"/>
    </row>
    <row r="37" spans="1:31" x14ac:dyDescent="0.2">
      <c r="A37" s="36">
        <v>318</v>
      </c>
      <c r="B37" s="36" t="s">
        <v>230</v>
      </c>
      <c r="C37" s="36" t="s">
        <v>215</v>
      </c>
      <c r="D37" s="36">
        <v>101</v>
      </c>
      <c r="E37" s="36" t="s">
        <v>231</v>
      </c>
      <c r="F37" s="36">
        <v>2</v>
      </c>
      <c r="G37" s="36" t="s">
        <v>233</v>
      </c>
      <c r="H37" s="52">
        <v>95</v>
      </c>
      <c r="I37" s="53">
        <v>97</v>
      </c>
      <c r="J37" s="177">
        <v>951.25</v>
      </c>
      <c r="K37" s="177">
        <v>951.27</v>
      </c>
      <c r="L37" s="176">
        <v>951.26</v>
      </c>
      <c r="M37" s="175"/>
      <c r="N37" s="198"/>
      <c r="O37" s="198" t="s">
        <v>602</v>
      </c>
      <c r="P37" s="50"/>
      <c r="Q37" s="174">
        <v>216000</v>
      </c>
      <c r="R37" s="55">
        <v>31100</v>
      </c>
      <c r="S37" s="55">
        <v>11000</v>
      </c>
      <c r="T37" s="55">
        <v>444000</v>
      </c>
      <c r="U37" s="55">
        <v>99300</v>
      </c>
      <c r="V37" s="55">
        <v>31200</v>
      </c>
      <c r="W37" s="55">
        <v>4520000</v>
      </c>
      <c r="X37" s="55">
        <v>202000</v>
      </c>
      <c r="Y37" s="55">
        <v>102000</v>
      </c>
      <c r="Z37" s="40">
        <f t="shared" si="8"/>
        <v>1.216832641153335</v>
      </c>
      <c r="AA37" s="40">
        <f t="shared" si="9"/>
        <v>0.85280910794470177</v>
      </c>
      <c r="AB37" s="40">
        <f t="shared" si="5"/>
        <v>0.8592038471814053</v>
      </c>
      <c r="AC37" s="621">
        <f t="shared" si="10"/>
        <v>25.163070202451408</v>
      </c>
      <c r="AD37" s="622">
        <f t="shared" si="7"/>
        <v>20.545878187284153</v>
      </c>
      <c r="AE37" s="167"/>
    </row>
    <row r="38" spans="1:31" x14ac:dyDescent="0.2">
      <c r="A38" s="36">
        <v>318</v>
      </c>
      <c r="B38" s="36" t="s">
        <v>230</v>
      </c>
      <c r="C38" s="36" t="s">
        <v>215</v>
      </c>
      <c r="D38" s="36">
        <v>101</v>
      </c>
      <c r="E38" s="36" t="s">
        <v>231</v>
      </c>
      <c r="F38" s="36">
        <v>2</v>
      </c>
      <c r="G38" s="36" t="s">
        <v>233</v>
      </c>
      <c r="H38" s="52">
        <v>125</v>
      </c>
      <c r="I38" s="53">
        <v>126</v>
      </c>
      <c r="J38" s="177">
        <v>951.55</v>
      </c>
      <c r="K38" s="177">
        <v>951.56</v>
      </c>
      <c r="L38" s="176">
        <v>951.55499999999995</v>
      </c>
      <c r="M38" s="175"/>
      <c r="N38" s="198"/>
      <c r="O38" s="198" t="s">
        <v>602</v>
      </c>
      <c r="P38" s="50"/>
      <c r="Q38" s="174">
        <v>308000</v>
      </c>
      <c r="R38" s="55">
        <v>46000</v>
      </c>
      <c r="S38" s="55">
        <v>11200</v>
      </c>
      <c r="T38" s="55">
        <v>640000</v>
      </c>
      <c r="U38" s="55">
        <v>153000</v>
      </c>
      <c r="V38" s="55">
        <v>30900</v>
      </c>
      <c r="W38" s="55">
        <v>6410000</v>
      </c>
      <c r="X38" s="55">
        <v>261000</v>
      </c>
      <c r="Y38" s="55">
        <v>133000</v>
      </c>
      <c r="Z38" s="40">
        <f t="shared" si="8"/>
        <v>1.2311887758704998</v>
      </c>
      <c r="AA38" s="40">
        <f t="shared" si="9"/>
        <v>0.85123418948843377</v>
      </c>
      <c r="AB38" s="40">
        <f t="shared" si="5"/>
        <v>0.85736967451706803</v>
      </c>
      <c r="AC38" s="621">
        <f t="shared" si="10"/>
        <v>24.950094420032514</v>
      </c>
      <c r="AD38" s="622">
        <f t="shared" si="7"/>
        <v>20.407619550843378</v>
      </c>
      <c r="AE38" s="167"/>
    </row>
    <row r="39" spans="1:31" x14ac:dyDescent="0.2">
      <c r="A39" s="36">
        <v>318</v>
      </c>
      <c r="B39" s="36" t="s">
        <v>230</v>
      </c>
      <c r="C39" s="36" t="s">
        <v>215</v>
      </c>
      <c r="D39" s="36">
        <v>102</v>
      </c>
      <c r="E39" s="36" t="s">
        <v>231</v>
      </c>
      <c r="F39" s="36">
        <v>1</v>
      </c>
      <c r="G39" s="36" t="s">
        <v>233</v>
      </c>
      <c r="H39" s="52">
        <v>15</v>
      </c>
      <c r="I39" s="53">
        <v>16</v>
      </c>
      <c r="J39" s="177">
        <v>958.55</v>
      </c>
      <c r="K39" s="177">
        <v>958.56</v>
      </c>
      <c r="L39" s="176">
        <v>958.55499999999995</v>
      </c>
      <c r="M39" s="175"/>
      <c r="N39" s="198"/>
      <c r="O39" s="198" t="s">
        <v>602</v>
      </c>
      <c r="P39" s="50"/>
      <c r="Q39" s="174">
        <v>86000</v>
      </c>
      <c r="R39" s="55">
        <v>0</v>
      </c>
      <c r="S39" s="55">
        <v>0</v>
      </c>
      <c r="T39" s="55">
        <v>157000</v>
      </c>
      <c r="U39" s="55">
        <v>48000</v>
      </c>
      <c r="V39" s="55">
        <v>15500</v>
      </c>
      <c r="W39" s="55">
        <v>2390000</v>
      </c>
      <c r="X39" s="55">
        <v>88000</v>
      </c>
      <c r="Y39" s="55">
        <v>58600</v>
      </c>
      <c r="Z39" s="40">
        <f t="shared" si="8"/>
        <v>1.2724900365933975</v>
      </c>
      <c r="AA39" s="40">
        <f t="shared" si="9"/>
        <v>0.89219513910871939</v>
      </c>
      <c r="AB39" s="40">
        <f t="shared" si="5"/>
        <v>0.89219513910871939</v>
      </c>
      <c r="AC39" s="621">
        <f t="shared" si="10"/>
        <v>26.611975113287698</v>
      </c>
      <c r="AD39" s="622">
        <f t="shared" si="7"/>
        <v>21.253030804885739</v>
      </c>
      <c r="AE39" s="167"/>
    </row>
    <row r="40" spans="1:31" x14ac:dyDescent="0.2">
      <c r="A40" s="36">
        <v>318</v>
      </c>
      <c r="B40" s="36" t="s">
        <v>230</v>
      </c>
      <c r="C40" s="36" t="s">
        <v>215</v>
      </c>
      <c r="D40" s="36">
        <v>102</v>
      </c>
      <c r="E40" s="36" t="s">
        <v>231</v>
      </c>
      <c r="F40" s="36">
        <v>1</v>
      </c>
      <c r="G40" s="36" t="s">
        <v>233</v>
      </c>
      <c r="H40" s="52">
        <v>45</v>
      </c>
      <c r="I40" s="53">
        <v>47</v>
      </c>
      <c r="J40" s="177">
        <v>958.85</v>
      </c>
      <c r="K40" s="177">
        <v>958.87</v>
      </c>
      <c r="L40" s="176">
        <v>958.86</v>
      </c>
      <c r="M40" s="175"/>
      <c r="N40" s="198"/>
      <c r="O40" s="198" t="s">
        <v>602</v>
      </c>
      <c r="P40" s="50"/>
      <c r="Q40" s="172">
        <v>94400</v>
      </c>
      <c r="R40" s="54">
        <v>0</v>
      </c>
      <c r="S40" s="54">
        <v>0</v>
      </c>
      <c r="T40" s="54">
        <v>310000</v>
      </c>
      <c r="U40" s="54">
        <v>77400</v>
      </c>
      <c r="V40" s="54">
        <v>18300</v>
      </c>
      <c r="W40" s="54">
        <v>1910000</v>
      </c>
      <c r="X40" s="54">
        <v>132000</v>
      </c>
      <c r="Y40" s="55">
        <v>50900</v>
      </c>
      <c r="Z40" s="40">
        <f t="shared" si="8"/>
        <v>1.0253762971078151</v>
      </c>
      <c r="AA40" s="40">
        <f t="shared" si="9"/>
        <v>0.8071345931353644</v>
      </c>
      <c r="AB40" s="40">
        <f t="shared" si="5"/>
        <v>0.8071345931353644</v>
      </c>
      <c r="AC40" s="621">
        <f t="shared" si="10"/>
        <v>24.66946127881015</v>
      </c>
      <c r="AD40" s="622">
        <f t="shared" si="7"/>
        <v>20.017288782594981</v>
      </c>
      <c r="AE40" s="167"/>
    </row>
    <row r="41" spans="1:31" x14ac:dyDescent="0.2">
      <c r="A41" s="36">
        <v>318</v>
      </c>
      <c r="B41" s="36" t="s">
        <v>230</v>
      </c>
      <c r="C41" s="36" t="s">
        <v>215</v>
      </c>
      <c r="D41" s="36">
        <v>103</v>
      </c>
      <c r="E41" s="36" t="s">
        <v>231</v>
      </c>
      <c r="F41" s="36">
        <v>1</v>
      </c>
      <c r="G41" s="36" t="s">
        <v>233</v>
      </c>
      <c r="H41" s="52">
        <v>25</v>
      </c>
      <c r="I41" s="53">
        <v>27</v>
      </c>
      <c r="J41" s="177">
        <v>968.25</v>
      </c>
      <c r="K41" s="177">
        <v>968.27</v>
      </c>
      <c r="L41" s="176">
        <v>968.26</v>
      </c>
      <c r="M41" s="175"/>
      <c r="N41" s="198"/>
      <c r="O41" s="198" t="s">
        <v>602</v>
      </c>
      <c r="P41" s="50"/>
      <c r="Q41" s="172">
        <v>59200</v>
      </c>
      <c r="R41" s="54">
        <v>0</v>
      </c>
      <c r="S41" s="54">
        <v>0</v>
      </c>
      <c r="T41" s="54">
        <v>114000</v>
      </c>
      <c r="U41" s="54">
        <v>30900</v>
      </c>
      <c r="V41" s="54">
        <v>0</v>
      </c>
      <c r="W41" s="54">
        <v>1360000</v>
      </c>
      <c r="X41" s="54">
        <v>51900</v>
      </c>
      <c r="Y41" s="55">
        <v>26700</v>
      </c>
      <c r="Z41" s="40">
        <f t="shared" si="8"/>
        <v>1.2504671467381525</v>
      </c>
      <c r="AA41" s="40">
        <f t="shared" si="9"/>
        <v>0.87575333292749746</v>
      </c>
      <c r="AB41" s="40">
        <f t="shared" si="5"/>
        <v>0.87575333292749746</v>
      </c>
      <c r="AC41" s="621">
        <f t="shared" si="10"/>
        <v>25.995798824373146</v>
      </c>
      <c r="AD41" s="622">
        <f t="shared" si="7"/>
        <v>20.868204598747095</v>
      </c>
      <c r="AE41" s="167"/>
    </row>
    <row r="42" spans="1:31" x14ac:dyDescent="0.2">
      <c r="A42" s="36">
        <v>318</v>
      </c>
      <c r="B42" s="36" t="s">
        <v>230</v>
      </c>
      <c r="C42" s="36" t="s">
        <v>215</v>
      </c>
      <c r="D42" s="36">
        <v>103</v>
      </c>
      <c r="E42" s="36" t="s">
        <v>231</v>
      </c>
      <c r="F42" s="36">
        <v>1</v>
      </c>
      <c r="G42" s="36" t="s">
        <v>233</v>
      </c>
      <c r="H42" s="52">
        <v>55</v>
      </c>
      <c r="I42" s="53">
        <v>57</v>
      </c>
      <c r="J42" s="177">
        <v>968.55</v>
      </c>
      <c r="K42" s="177">
        <v>968.57</v>
      </c>
      <c r="L42" s="176">
        <v>968.56</v>
      </c>
      <c r="M42" s="175"/>
      <c r="N42" s="198"/>
      <c r="O42" s="198" t="s">
        <v>602</v>
      </c>
      <c r="P42" s="50"/>
      <c r="Q42" s="172">
        <v>30400</v>
      </c>
      <c r="R42" s="54">
        <v>0</v>
      </c>
      <c r="S42" s="54">
        <v>0</v>
      </c>
      <c r="T42" s="54">
        <v>45200</v>
      </c>
      <c r="U42" s="54">
        <v>16500</v>
      </c>
      <c r="V42" s="54">
        <v>0</v>
      </c>
      <c r="W42" s="54">
        <v>788000</v>
      </c>
      <c r="X42" s="54">
        <v>20300</v>
      </c>
      <c r="Y42" s="55">
        <v>14600</v>
      </c>
      <c r="Z42" s="40">
        <f t="shared" si="8"/>
        <v>1.3549014426021906</v>
      </c>
      <c r="AA42" s="40">
        <f t="shared" si="9"/>
        <v>0.89934426229508202</v>
      </c>
      <c r="AB42" s="40">
        <f t="shared" si="5"/>
        <v>0.89934426229508202</v>
      </c>
      <c r="AC42" s="621">
        <f t="shared" si="10"/>
        <v>26.19888462642362</v>
      </c>
      <c r="AD42" s="622">
        <f t="shared" si="7"/>
        <v>21.007380951593124</v>
      </c>
      <c r="AE42" s="167"/>
    </row>
    <row r="43" spans="1:31" x14ac:dyDescent="0.2">
      <c r="A43" s="36">
        <v>318</v>
      </c>
      <c r="B43" s="36" t="s">
        <v>230</v>
      </c>
      <c r="C43" s="36" t="s">
        <v>215</v>
      </c>
      <c r="D43" s="36">
        <v>103</v>
      </c>
      <c r="E43" s="36" t="s">
        <v>231</v>
      </c>
      <c r="F43" s="36">
        <v>2</v>
      </c>
      <c r="G43" s="36" t="s">
        <v>233</v>
      </c>
      <c r="H43" s="52">
        <v>25</v>
      </c>
      <c r="I43" s="53">
        <v>27</v>
      </c>
      <c r="J43" s="177">
        <v>969.75</v>
      </c>
      <c r="K43" s="177">
        <v>969.77</v>
      </c>
      <c r="L43" s="176">
        <v>969.76</v>
      </c>
      <c r="M43" s="175"/>
      <c r="N43" s="198"/>
      <c r="O43" s="198" t="s">
        <v>602</v>
      </c>
      <c r="P43" s="50"/>
      <c r="Q43" s="172">
        <v>56000</v>
      </c>
      <c r="R43" s="54">
        <v>0</v>
      </c>
      <c r="S43" s="54">
        <v>0</v>
      </c>
      <c r="T43" s="54">
        <v>105000</v>
      </c>
      <c r="U43" s="54">
        <v>30100</v>
      </c>
      <c r="V43" s="54">
        <v>0</v>
      </c>
      <c r="W43" s="54">
        <v>1330000</v>
      </c>
      <c r="X43" s="54">
        <v>48400</v>
      </c>
      <c r="Y43" s="55">
        <v>25600</v>
      </c>
      <c r="Z43" s="40">
        <f t="shared" si="8"/>
        <v>1.2619822443247586</v>
      </c>
      <c r="AA43" s="40">
        <f t="shared" si="9"/>
        <v>0.88019559902200484</v>
      </c>
      <c r="AB43" s="40">
        <f t="shared" ref="AB43:AB106" si="11">(W43+X43+Y43)/(W43+X43+Y43+T43+U43+V43+Q43)</f>
        <v>0.88019559902200484</v>
      </c>
      <c r="AC43" s="621">
        <f t="shared" si="10"/>
        <v>26.110245966663747</v>
      </c>
      <c r="AD43" s="622">
        <f t="shared" ref="AD43:AD106" si="12">(0.81-5.67*Z43)+(31*AB43)</f>
        <v>20.94062424436077</v>
      </c>
      <c r="AE43" s="167"/>
    </row>
    <row r="44" spans="1:31" x14ac:dyDescent="0.2">
      <c r="A44" s="47">
        <v>318</v>
      </c>
      <c r="B44" s="47" t="s">
        <v>230</v>
      </c>
      <c r="C44" s="47" t="s">
        <v>215</v>
      </c>
      <c r="D44" s="47">
        <v>103</v>
      </c>
      <c r="E44" s="47" t="s">
        <v>231</v>
      </c>
      <c r="F44" s="47">
        <v>2</v>
      </c>
      <c r="G44" s="47" t="s">
        <v>233</v>
      </c>
      <c r="H44" s="56">
        <v>54</v>
      </c>
      <c r="I44" s="57">
        <v>56</v>
      </c>
      <c r="J44" s="47">
        <v>970.04</v>
      </c>
      <c r="K44" s="177">
        <v>970.06</v>
      </c>
      <c r="L44" s="176">
        <v>970.05</v>
      </c>
      <c r="M44" s="175"/>
      <c r="N44" s="198"/>
      <c r="O44" s="198" t="s">
        <v>602</v>
      </c>
      <c r="P44" s="50"/>
      <c r="Q44" s="172">
        <v>10100</v>
      </c>
      <c r="R44" s="54">
        <v>0</v>
      </c>
      <c r="S44" s="54">
        <v>0</v>
      </c>
      <c r="T44" s="54">
        <v>28700</v>
      </c>
      <c r="U44" s="54">
        <v>0</v>
      </c>
      <c r="V44" s="54">
        <v>0</v>
      </c>
      <c r="W44" s="54">
        <v>552000</v>
      </c>
      <c r="X44" s="54">
        <v>17000</v>
      </c>
      <c r="Y44" s="55">
        <v>11400</v>
      </c>
      <c r="Z44" s="40">
        <f t="shared" si="8"/>
        <v>1.5335029046550503</v>
      </c>
      <c r="AA44" s="40">
        <f t="shared" si="9"/>
        <v>0.9373385012919897</v>
      </c>
      <c r="AB44" s="40">
        <f t="shared" si="11"/>
        <v>0.9373385012919897</v>
      </c>
      <c r="AC44" s="621">
        <f t="shared" si="10"/>
        <v>26.42867290607477</v>
      </c>
      <c r="AD44" s="622">
        <f t="shared" si="12"/>
        <v>21.172532070657546</v>
      </c>
      <c r="AE44" s="167"/>
    </row>
    <row r="45" spans="1:31" x14ac:dyDescent="0.2">
      <c r="A45" s="36">
        <v>318</v>
      </c>
      <c r="B45" s="36" t="s">
        <v>230</v>
      </c>
      <c r="C45" s="36" t="s">
        <v>215</v>
      </c>
      <c r="D45" s="36">
        <v>103</v>
      </c>
      <c r="E45" s="36" t="s">
        <v>231</v>
      </c>
      <c r="F45" s="36">
        <v>2</v>
      </c>
      <c r="G45" s="36" t="s">
        <v>233</v>
      </c>
      <c r="H45" s="52">
        <v>85</v>
      </c>
      <c r="I45" s="53">
        <v>87</v>
      </c>
      <c r="J45" s="177">
        <v>970.35</v>
      </c>
      <c r="K45" s="177">
        <v>970.37</v>
      </c>
      <c r="L45" s="176">
        <v>970.36</v>
      </c>
      <c r="M45" s="175"/>
      <c r="N45" s="198"/>
      <c r="O45" s="198" t="s">
        <v>602</v>
      </c>
      <c r="P45" s="50"/>
      <c r="Q45" s="172">
        <v>137000</v>
      </c>
      <c r="R45" s="54">
        <v>17300</v>
      </c>
      <c r="S45" s="54">
        <v>0</v>
      </c>
      <c r="T45" s="54">
        <v>258000</v>
      </c>
      <c r="U45" s="54">
        <v>64800</v>
      </c>
      <c r="V45" s="54">
        <v>14600</v>
      </c>
      <c r="W45" s="54">
        <v>3250000</v>
      </c>
      <c r="X45" s="54">
        <v>141000</v>
      </c>
      <c r="Y45" s="55">
        <v>75300</v>
      </c>
      <c r="Z45" s="40">
        <f t="shared" si="8"/>
        <v>1.2316142142675888</v>
      </c>
      <c r="AA45" s="40">
        <f t="shared" si="9"/>
        <v>0.87577059120768064</v>
      </c>
      <c r="AB45" s="40">
        <f t="shared" si="11"/>
        <v>0.87961529677468475</v>
      </c>
      <c r="AC45" s="621">
        <f t="shared" si="10"/>
        <v>26.172936656982078</v>
      </c>
      <c r="AD45" s="622">
        <f t="shared" si="12"/>
        <v>21.094821605118</v>
      </c>
      <c r="AE45" s="167"/>
    </row>
    <row r="46" spans="1:31" x14ac:dyDescent="0.2">
      <c r="A46" s="36">
        <v>318</v>
      </c>
      <c r="B46" s="36" t="s">
        <v>230</v>
      </c>
      <c r="C46" s="36" t="s">
        <v>215</v>
      </c>
      <c r="D46" s="36">
        <v>103</v>
      </c>
      <c r="E46" s="36" t="s">
        <v>231</v>
      </c>
      <c r="F46" s="36">
        <v>2</v>
      </c>
      <c r="G46" s="36" t="s">
        <v>233</v>
      </c>
      <c r="H46" s="52">
        <v>115</v>
      </c>
      <c r="I46" s="53">
        <v>116</v>
      </c>
      <c r="J46" s="177">
        <v>970.65</v>
      </c>
      <c r="K46" s="177">
        <v>970.66</v>
      </c>
      <c r="L46" s="176">
        <v>970.65499999999997</v>
      </c>
      <c r="M46" s="175"/>
      <c r="N46" s="198"/>
      <c r="O46" s="198" t="s">
        <v>602</v>
      </c>
      <c r="P46" s="50"/>
      <c r="Q46" s="172">
        <v>59800</v>
      </c>
      <c r="R46" s="54">
        <v>10600</v>
      </c>
      <c r="S46" s="54">
        <v>0</v>
      </c>
      <c r="T46" s="54">
        <v>118000</v>
      </c>
      <c r="U46" s="54">
        <v>34500</v>
      </c>
      <c r="V46" s="54">
        <v>12200</v>
      </c>
      <c r="W46" s="54">
        <v>1300000</v>
      </c>
      <c r="X46" s="54">
        <v>57100</v>
      </c>
      <c r="Y46" s="55">
        <v>30200</v>
      </c>
      <c r="Z46" s="40">
        <f t="shared" si="8"/>
        <v>1.1897807571791974</v>
      </c>
      <c r="AA46" s="40">
        <f t="shared" si="9"/>
        <v>0.85509122287968442</v>
      </c>
      <c r="AB46" s="40">
        <f t="shared" si="11"/>
        <v>0.86071472887455014</v>
      </c>
      <c r="AC46" s="621">
        <f t="shared" si="10"/>
        <v>25.530111064358724</v>
      </c>
      <c r="AD46" s="622">
        <f t="shared" si="12"/>
        <v>20.746099701905003</v>
      </c>
      <c r="AE46" s="167"/>
    </row>
    <row r="47" spans="1:31" x14ac:dyDescent="0.2">
      <c r="A47" s="36">
        <v>318</v>
      </c>
      <c r="B47" s="36" t="s">
        <v>230</v>
      </c>
      <c r="C47" s="36" t="s">
        <v>215</v>
      </c>
      <c r="D47" s="36">
        <v>103</v>
      </c>
      <c r="E47" s="36" t="s">
        <v>231</v>
      </c>
      <c r="F47" s="36">
        <v>3</v>
      </c>
      <c r="G47" s="36" t="s">
        <v>233</v>
      </c>
      <c r="H47" s="52">
        <v>25</v>
      </c>
      <c r="I47" s="53">
        <v>27</v>
      </c>
      <c r="J47" s="177">
        <v>971.25</v>
      </c>
      <c r="K47" s="177">
        <v>971.27</v>
      </c>
      <c r="L47" s="176">
        <v>971.26</v>
      </c>
      <c r="M47" s="175"/>
      <c r="N47" s="198"/>
      <c r="O47" s="198" t="s">
        <v>602</v>
      </c>
      <c r="P47" s="50"/>
      <c r="Q47" s="172">
        <v>13200</v>
      </c>
      <c r="R47" s="54">
        <v>0</v>
      </c>
      <c r="S47" s="54">
        <v>0</v>
      </c>
      <c r="T47" s="54">
        <v>116000</v>
      </c>
      <c r="U47" s="54">
        <v>34900</v>
      </c>
      <c r="V47" s="54">
        <v>0</v>
      </c>
      <c r="W47" s="54">
        <v>362000</v>
      </c>
      <c r="X47" s="54">
        <v>63800</v>
      </c>
      <c r="Y47" s="55">
        <v>17200</v>
      </c>
      <c r="Z47" s="40">
        <f t="shared" si="8"/>
        <v>0.68511074394248217</v>
      </c>
      <c r="AA47" s="40">
        <f t="shared" si="9"/>
        <v>0.72969856695766755</v>
      </c>
      <c r="AB47" s="40">
        <f t="shared" si="11"/>
        <v>0.72969856695766755</v>
      </c>
      <c r="AC47" s="621">
        <f t="shared" si="10"/>
        <v>23.979142892021173</v>
      </c>
      <c r="AD47" s="622">
        <f t="shared" si="12"/>
        <v>19.546077657533818</v>
      </c>
      <c r="AE47" s="167"/>
    </row>
    <row r="48" spans="1:31" x14ac:dyDescent="0.2">
      <c r="A48" s="36">
        <v>318</v>
      </c>
      <c r="B48" s="36" t="s">
        <v>230</v>
      </c>
      <c r="C48" s="36" t="s">
        <v>215</v>
      </c>
      <c r="D48" s="36">
        <v>103</v>
      </c>
      <c r="E48" s="36" t="s">
        <v>231</v>
      </c>
      <c r="F48" s="36">
        <v>3</v>
      </c>
      <c r="G48" s="36" t="s">
        <v>233</v>
      </c>
      <c r="H48" s="52">
        <v>55</v>
      </c>
      <c r="I48" s="53">
        <v>57</v>
      </c>
      <c r="J48" s="177">
        <v>971.55</v>
      </c>
      <c r="K48" s="177">
        <v>971.57</v>
      </c>
      <c r="L48" s="176">
        <v>971.56</v>
      </c>
      <c r="M48" s="175"/>
      <c r="N48" s="198"/>
      <c r="O48" s="198" t="s">
        <v>602</v>
      </c>
      <c r="P48" s="50"/>
      <c r="Q48" s="172">
        <v>67300</v>
      </c>
      <c r="R48" s="54">
        <v>0</v>
      </c>
      <c r="S48" s="54">
        <v>0</v>
      </c>
      <c r="T48" s="54">
        <v>158000</v>
      </c>
      <c r="U48" s="54">
        <v>45500</v>
      </c>
      <c r="V48" s="54">
        <v>17400</v>
      </c>
      <c r="W48" s="54">
        <v>2080000</v>
      </c>
      <c r="X48" s="54">
        <v>83900</v>
      </c>
      <c r="Y48" s="55">
        <v>44900</v>
      </c>
      <c r="Z48" s="40">
        <f t="shared" si="8"/>
        <v>1.2379258058596496</v>
      </c>
      <c r="AA48" s="40">
        <f t="shared" si="9"/>
        <v>0.88458149779735684</v>
      </c>
      <c r="AB48" s="40">
        <f t="shared" si="11"/>
        <v>0.88458149779735684</v>
      </c>
      <c r="AC48" s="621">
        <f t="shared" si="10"/>
        <v>26.554468605080118</v>
      </c>
      <c r="AD48" s="622">
        <f t="shared" si="12"/>
        <v>21.212987112493849</v>
      </c>
      <c r="AE48" s="167"/>
    </row>
    <row r="49" spans="1:31" x14ac:dyDescent="0.2">
      <c r="A49" s="36">
        <v>318</v>
      </c>
      <c r="B49" s="36" t="s">
        <v>230</v>
      </c>
      <c r="C49" s="36" t="s">
        <v>215</v>
      </c>
      <c r="D49" s="36">
        <v>103</v>
      </c>
      <c r="E49" s="36" t="s">
        <v>231</v>
      </c>
      <c r="F49" s="36">
        <v>3</v>
      </c>
      <c r="G49" s="36" t="s">
        <v>233</v>
      </c>
      <c r="H49" s="52">
        <v>85</v>
      </c>
      <c r="I49" s="53">
        <v>87</v>
      </c>
      <c r="J49" s="177">
        <v>971.85</v>
      </c>
      <c r="K49" s="177">
        <v>971.87</v>
      </c>
      <c r="L49" s="176">
        <v>971.86</v>
      </c>
      <c r="M49" s="175"/>
      <c r="N49" s="198"/>
      <c r="O49" s="198" t="s">
        <v>602</v>
      </c>
      <c r="P49" s="50"/>
      <c r="Q49" s="172">
        <v>51900</v>
      </c>
      <c r="R49" s="54">
        <v>0</v>
      </c>
      <c r="S49" s="54">
        <v>0</v>
      </c>
      <c r="T49" s="54">
        <v>132000</v>
      </c>
      <c r="U49" s="54">
        <v>18800</v>
      </c>
      <c r="V49" s="54">
        <v>13500</v>
      </c>
      <c r="W49" s="54">
        <v>1520000</v>
      </c>
      <c r="X49" s="54">
        <v>53900</v>
      </c>
      <c r="Y49" s="55">
        <v>36400</v>
      </c>
      <c r="Z49" s="40">
        <f t="shared" si="8"/>
        <v>1.3564756321253255</v>
      </c>
      <c r="AA49" s="40">
        <f t="shared" si="9"/>
        <v>0.88163153572406239</v>
      </c>
      <c r="AB49" s="40">
        <f t="shared" si="11"/>
        <v>0.88163153572406239</v>
      </c>
      <c r="AC49" s="621">
        <f t="shared" si="10"/>
        <v>25.298529625831321</v>
      </c>
      <c r="AD49" s="622">
        <f t="shared" si="12"/>
        <v>20.449360773295339</v>
      </c>
      <c r="AE49" s="167"/>
    </row>
    <row r="50" spans="1:31" x14ac:dyDescent="0.2">
      <c r="A50" s="36">
        <v>318</v>
      </c>
      <c r="B50" s="36" t="s">
        <v>230</v>
      </c>
      <c r="C50" s="36" t="s">
        <v>215</v>
      </c>
      <c r="D50" s="36">
        <v>103</v>
      </c>
      <c r="E50" s="36" t="s">
        <v>231</v>
      </c>
      <c r="F50" s="36">
        <v>3</v>
      </c>
      <c r="G50" s="36" t="s">
        <v>233</v>
      </c>
      <c r="H50" s="52">
        <v>115</v>
      </c>
      <c r="I50" s="53">
        <v>116</v>
      </c>
      <c r="J50" s="177">
        <v>972.15</v>
      </c>
      <c r="K50" s="177">
        <v>972.16</v>
      </c>
      <c r="L50" s="176">
        <v>972.15499999999997</v>
      </c>
      <c r="M50" s="175"/>
      <c r="N50" s="198"/>
      <c r="O50" s="198" t="s">
        <v>602</v>
      </c>
      <c r="P50" s="50"/>
      <c r="Q50" s="172">
        <v>75600</v>
      </c>
      <c r="R50" s="54">
        <v>0</v>
      </c>
      <c r="S50" s="54">
        <v>0</v>
      </c>
      <c r="T50" s="54">
        <v>211000</v>
      </c>
      <c r="U50" s="54">
        <v>53900</v>
      </c>
      <c r="V50" s="54">
        <v>12000</v>
      </c>
      <c r="W50" s="54">
        <v>2270000</v>
      </c>
      <c r="X50" s="54">
        <v>90200</v>
      </c>
      <c r="Y50" s="55">
        <v>26300</v>
      </c>
      <c r="Z50" s="40">
        <f t="shared" si="8"/>
        <v>1.2359627834582199</v>
      </c>
      <c r="AA50" s="40">
        <f t="shared" si="9"/>
        <v>0.87130339539978097</v>
      </c>
      <c r="AB50" s="40">
        <f t="shared" si="11"/>
        <v>0.87130339539978097</v>
      </c>
      <c r="AC50" s="621">
        <f t="shared" si="10"/>
        <v>25.908917744654691</v>
      </c>
      <c r="AD50" s="622">
        <f t="shared" si="12"/>
        <v>20.812496275185104</v>
      </c>
      <c r="AE50" s="167"/>
    </row>
    <row r="51" spans="1:31" x14ac:dyDescent="0.2">
      <c r="A51" s="36">
        <v>318</v>
      </c>
      <c r="B51" s="36" t="s">
        <v>230</v>
      </c>
      <c r="C51" s="36" t="s">
        <v>215</v>
      </c>
      <c r="D51" s="36">
        <v>103</v>
      </c>
      <c r="E51" s="36" t="s">
        <v>231</v>
      </c>
      <c r="F51" s="36">
        <v>3</v>
      </c>
      <c r="G51" s="36" t="s">
        <v>233</v>
      </c>
      <c r="H51" s="52">
        <v>145</v>
      </c>
      <c r="I51" s="53">
        <v>147</v>
      </c>
      <c r="J51" s="177">
        <v>972.45</v>
      </c>
      <c r="K51" s="177">
        <v>972.47</v>
      </c>
      <c r="L51" s="176">
        <v>972.46</v>
      </c>
      <c r="M51" s="175"/>
      <c r="N51" s="198"/>
      <c r="O51" s="198" t="s">
        <v>602</v>
      </c>
      <c r="P51" s="50"/>
      <c r="Q51" s="172">
        <v>57800</v>
      </c>
      <c r="R51" s="54">
        <v>0</v>
      </c>
      <c r="S51" s="54">
        <v>0</v>
      </c>
      <c r="T51" s="54">
        <v>111000</v>
      </c>
      <c r="U51" s="54">
        <v>27200</v>
      </c>
      <c r="V51" s="54">
        <v>0</v>
      </c>
      <c r="W51" s="54">
        <v>1650000</v>
      </c>
      <c r="X51" s="54">
        <v>56800</v>
      </c>
      <c r="Y51" s="55">
        <v>34500</v>
      </c>
      <c r="Z51" s="40">
        <f t="shared" si="8"/>
        <v>1.3214800699053952</v>
      </c>
      <c r="AA51" s="40">
        <f t="shared" si="9"/>
        <v>0.89882826614360189</v>
      </c>
      <c r="AB51" s="40">
        <f t="shared" si="11"/>
        <v>0.89882826614360189</v>
      </c>
      <c r="AC51" s="621">
        <f t="shared" si="10"/>
        <v>26.485574653564647</v>
      </c>
      <c r="AD51" s="622">
        <f t="shared" si="12"/>
        <v>21.180884254088067</v>
      </c>
      <c r="AE51" s="167"/>
    </row>
    <row r="52" spans="1:31" x14ac:dyDescent="0.2">
      <c r="A52" s="36">
        <v>318</v>
      </c>
      <c r="B52" s="36" t="s">
        <v>230</v>
      </c>
      <c r="C52" s="36" t="s">
        <v>215</v>
      </c>
      <c r="D52" s="36">
        <v>103</v>
      </c>
      <c r="E52" s="36" t="s">
        <v>231</v>
      </c>
      <c r="F52" s="36">
        <v>4</v>
      </c>
      <c r="G52" s="36" t="s">
        <v>233</v>
      </c>
      <c r="H52" s="52">
        <v>25</v>
      </c>
      <c r="I52" s="53">
        <v>27</v>
      </c>
      <c r="J52" s="177">
        <v>972.75</v>
      </c>
      <c r="K52" s="177">
        <v>972.77</v>
      </c>
      <c r="L52" s="176">
        <v>972.76</v>
      </c>
      <c r="M52" s="175"/>
      <c r="N52" s="198"/>
      <c r="O52" s="198" t="s">
        <v>602</v>
      </c>
      <c r="P52" s="50"/>
      <c r="Q52" s="172">
        <v>78000</v>
      </c>
      <c r="R52" s="54">
        <v>13400</v>
      </c>
      <c r="S52" s="54">
        <v>0</v>
      </c>
      <c r="T52" s="54">
        <v>167000</v>
      </c>
      <c r="U52" s="54">
        <v>33000</v>
      </c>
      <c r="V52" s="54">
        <v>0</v>
      </c>
      <c r="W52" s="54">
        <v>2280000</v>
      </c>
      <c r="X52" s="54">
        <v>64300</v>
      </c>
      <c r="Y52" s="55">
        <v>34700</v>
      </c>
      <c r="Z52" s="40">
        <f t="shared" si="8"/>
        <v>1.4005211290834374</v>
      </c>
      <c r="AA52" s="40">
        <f t="shared" si="9"/>
        <v>0.89087777112043143</v>
      </c>
      <c r="AB52" s="40">
        <f t="shared" si="11"/>
        <v>0.89537071885585251</v>
      </c>
      <c r="AC52" s="621">
        <f t="shared" si="10"/>
        <v>25.349015999091428</v>
      </c>
      <c r="AD52" s="622">
        <f t="shared" si="12"/>
        <v>20.625537482628339</v>
      </c>
      <c r="AE52" s="167"/>
    </row>
    <row r="53" spans="1:31" x14ac:dyDescent="0.2">
      <c r="A53" s="36">
        <v>318</v>
      </c>
      <c r="B53" s="36" t="s">
        <v>230</v>
      </c>
      <c r="C53" s="36" t="s">
        <v>215</v>
      </c>
      <c r="D53" s="36">
        <v>103</v>
      </c>
      <c r="E53" s="36" t="s">
        <v>231</v>
      </c>
      <c r="F53" s="36">
        <v>4</v>
      </c>
      <c r="G53" s="36" t="s">
        <v>233</v>
      </c>
      <c r="H53" s="52">
        <v>55</v>
      </c>
      <c r="I53" s="53">
        <v>57</v>
      </c>
      <c r="J53" s="177">
        <v>973.05</v>
      </c>
      <c r="K53" s="177">
        <v>973.07</v>
      </c>
      <c r="L53" s="176">
        <v>973.06</v>
      </c>
      <c r="M53" s="175"/>
      <c r="N53" s="198"/>
      <c r="O53" s="198" t="s">
        <v>602</v>
      </c>
      <c r="P53" s="50"/>
      <c r="Q53" s="172">
        <v>60300</v>
      </c>
      <c r="R53" s="54">
        <v>0</v>
      </c>
      <c r="S53" s="54">
        <v>0</v>
      </c>
      <c r="T53" s="54">
        <v>148000</v>
      </c>
      <c r="U53" s="54">
        <v>32400</v>
      </c>
      <c r="V53" s="54">
        <v>0</v>
      </c>
      <c r="W53" s="54">
        <v>1600000</v>
      </c>
      <c r="X53" s="54">
        <v>71600</v>
      </c>
      <c r="Y53" s="55">
        <v>31300</v>
      </c>
      <c r="Z53" s="40">
        <f t="shared" si="8"/>
        <v>1.225508088999604</v>
      </c>
      <c r="AA53" s="40">
        <f t="shared" si="9"/>
        <v>0.87615764560609177</v>
      </c>
      <c r="AB53" s="40">
        <f t="shared" si="11"/>
        <v>0.87615764560609177</v>
      </c>
      <c r="AC53" s="621">
        <f t="shared" si="10"/>
        <v>26.249381648158295</v>
      </c>
      <c r="AD53" s="622">
        <f t="shared" si="12"/>
        <v>21.022256149161091</v>
      </c>
      <c r="AE53" s="167"/>
    </row>
    <row r="54" spans="1:31" x14ac:dyDescent="0.2">
      <c r="A54" s="36">
        <v>318</v>
      </c>
      <c r="B54" s="36" t="s">
        <v>230</v>
      </c>
      <c r="C54" s="36" t="s">
        <v>215</v>
      </c>
      <c r="D54" s="36">
        <v>103</v>
      </c>
      <c r="E54" s="36" t="s">
        <v>231</v>
      </c>
      <c r="F54" s="36">
        <v>4</v>
      </c>
      <c r="G54" s="36" t="s">
        <v>233</v>
      </c>
      <c r="H54" s="52">
        <v>85</v>
      </c>
      <c r="I54" s="53">
        <v>87</v>
      </c>
      <c r="J54" s="177">
        <v>973.35</v>
      </c>
      <c r="K54" s="177">
        <v>973.37</v>
      </c>
      <c r="L54" s="176">
        <v>973.36</v>
      </c>
      <c r="M54" s="175"/>
      <c r="N54" s="198"/>
      <c r="O54" s="198" t="s">
        <v>602</v>
      </c>
      <c r="P54" s="50"/>
      <c r="Q54" s="172">
        <v>13600</v>
      </c>
      <c r="R54" s="54">
        <v>0</v>
      </c>
      <c r="S54" s="54">
        <v>0</v>
      </c>
      <c r="T54" s="54">
        <v>34200</v>
      </c>
      <c r="U54" s="54">
        <v>0</v>
      </c>
      <c r="V54" s="54">
        <v>0</v>
      </c>
      <c r="W54" s="54">
        <v>442000</v>
      </c>
      <c r="X54" s="54">
        <v>14400</v>
      </c>
      <c r="Y54" s="55">
        <v>0</v>
      </c>
      <c r="Z54" s="40">
        <f t="shared" si="8"/>
        <v>1.5194268989736115</v>
      </c>
      <c r="AA54" s="40">
        <f t="shared" si="9"/>
        <v>0.90519635065450221</v>
      </c>
      <c r="AB54" s="40">
        <f t="shared" si="11"/>
        <v>0.90519635065450221</v>
      </c>
      <c r="AC54" s="621">
        <f t="shared" si="10"/>
        <v>24.953176027321845</v>
      </c>
      <c r="AD54" s="622">
        <f t="shared" si="12"/>
        <v>20.255936353109192</v>
      </c>
      <c r="AE54" s="167"/>
    </row>
    <row r="55" spans="1:31" x14ac:dyDescent="0.2">
      <c r="A55" s="36">
        <v>318</v>
      </c>
      <c r="B55" s="36" t="s">
        <v>230</v>
      </c>
      <c r="C55" s="36" t="s">
        <v>215</v>
      </c>
      <c r="D55" s="36">
        <v>103</v>
      </c>
      <c r="E55" s="36" t="s">
        <v>231</v>
      </c>
      <c r="F55" s="36">
        <v>4</v>
      </c>
      <c r="G55" s="36" t="s">
        <v>233</v>
      </c>
      <c r="H55" s="52">
        <v>115</v>
      </c>
      <c r="I55" s="53">
        <v>116</v>
      </c>
      <c r="J55" s="177">
        <v>973.65</v>
      </c>
      <c r="K55" s="177">
        <v>973.66</v>
      </c>
      <c r="L55" s="176">
        <v>973.65499999999997</v>
      </c>
      <c r="M55" s="175"/>
      <c r="N55" s="198"/>
      <c r="O55" s="198" t="s">
        <v>602</v>
      </c>
      <c r="P55" s="50"/>
      <c r="Q55" s="172">
        <v>44000</v>
      </c>
      <c r="R55" s="54">
        <v>0</v>
      </c>
      <c r="S55" s="54">
        <v>0</v>
      </c>
      <c r="T55" s="54">
        <v>91000</v>
      </c>
      <c r="U55" s="54">
        <v>22400</v>
      </c>
      <c r="V55" s="54">
        <v>0</v>
      </c>
      <c r="W55" s="54">
        <v>1170000</v>
      </c>
      <c r="X55" s="54">
        <v>36100</v>
      </c>
      <c r="Y55" s="55">
        <v>25000</v>
      </c>
      <c r="Z55" s="40">
        <f t="shared" si="8"/>
        <v>1.3335592204909013</v>
      </c>
      <c r="AA55" s="40">
        <f t="shared" si="9"/>
        <v>0.88664025927259638</v>
      </c>
      <c r="AB55" s="40">
        <f t="shared" si="11"/>
        <v>0.88664025927259638</v>
      </c>
      <c r="AC55" s="621">
        <f t="shared" si="10"/>
        <v>25.76323425203989</v>
      </c>
      <c r="AD55" s="622">
        <f t="shared" si="12"/>
        <v>20.734567257267077</v>
      </c>
      <c r="AE55" s="167"/>
    </row>
    <row r="56" spans="1:31" x14ac:dyDescent="0.2">
      <c r="A56" s="36">
        <v>318</v>
      </c>
      <c r="B56" s="36" t="s">
        <v>230</v>
      </c>
      <c r="C56" s="36" t="s">
        <v>215</v>
      </c>
      <c r="D56" s="36">
        <v>103</v>
      </c>
      <c r="E56" s="36" t="s">
        <v>231</v>
      </c>
      <c r="F56" s="36">
        <v>4</v>
      </c>
      <c r="G56" s="36" t="s">
        <v>233</v>
      </c>
      <c r="H56" s="52">
        <v>140</v>
      </c>
      <c r="I56" s="53">
        <v>142</v>
      </c>
      <c r="J56" s="177">
        <v>973.9</v>
      </c>
      <c r="K56" s="177">
        <v>973.92</v>
      </c>
      <c r="L56" s="176">
        <v>973.91</v>
      </c>
      <c r="M56" s="175">
        <v>52.93</v>
      </c>
      <c r="N56" s="198">
        <v>52.93</v>
      </c>
      <c r="O56" s="198" t="s">
        <v>602</v>
      </c>
      <c r="P56" s="50"/>
      <c r="Q56" s="172">
        <v>46100</v>
      </c>
      <c r="R56" s="54">
        <v>0</v>
      </c>
      <c r="S56" s="54">
        <v>0</v>
      </c>
      <c r="T56" s="54">
        <v>106000</v>
      </c>
      <c r="U56" s="54">
        <v>25400</v>
      </c>
      <c r="V56" s="54">
        <v>0</v>
      </c>
      <c r="W56" s="54">
        <v>1200000</v>
      </c>
      <c r="X56" s="54">
        <v>41700</v>
      </c>
      <c r="Y56" s="55">
        <v>30800</v>
      </c>
      <c r="Z56" s="40">
        <f t="shared" si="8"/>
        <v>1.289220656770063</v>
      </c>
      <c r="AA56" s="40">
        <f t="shared" si="9"/>
        <v>0.87758620689655176</v>
      </c>
      <c r="AB56" s="40">
        <f t="shared" si="11"/>
        <v>0.87758620689655176</v>
      </c>
      <c r="AC56" s="621">
        <f t="shared" si="10"/>
        <v>25.725097204027499</v>
      </c>
      <c r="AD56" s="622">
        <f t="shared" si="12"/>
        <v>20.705291289906846</v>
      </c>
      <c r="AE56" s="167"/>
    </row>
    <row r="57" spans="1:31" x14ac:dyDescent="0.2">
      <c r="A57" s="36">
        <v>318</v>
      </c>
      <c r="B57" s="36" t="s">
        <v>230</v>
      </c>
      <c r="C57" s="36" t="s">
        <v>215</v>
      </c>
      <c r="D57" s="36">
        <v>104</v>
      </c>
      <c r="E57" s="36" t="s">
        <v>231</v>
      </c>
      <c r="F57" s="36">
        <v>1</v>
      </c>
      <c r="G57" s="36" t="s">
        <v>233</v>
      </c>
      <c r="H57" s="52">
        <v>15</v>
      </c>
      <c r="I57" s="53">
        <v>16</v>
      </c>
      <c r="J57" s="177">
        <v>977.75</v>
      </c>
      <c r="K57" s="177">
        <v>977.76</v>
      </c>
      <c r="L57" s="176">
        <v>977.755</v>
      </c>
      <c r="M57" s="175"/>
      <c r="N57" s="198"/>
      <c r="O57" s="198" t="s">
        <v>602</v>
      </c>
      <c r="P57" s="50"/>
      <c r="Q57" s="172">
        <v>70800</v>
      </c>
      <c r="R57" s="54">
        <v>0</v>
      </c>
      <c r="S57" s="54">
        <v>0</v>
      </c>
      <c r="T57" s="54">
        <v>171000</v>
      </c>
      <c r="U57" s="54">
        <v>39300</v>
      </c>
      <c r="V57" s="54">
        <v>0</v>
      </c>
      <c r="W57" s="54">
        <v>2240000</v>
      </c>
      <c r="X57" s="54">
        <v>54300</v>
      </c>
      <c r="Y57" s="55">
        <v>29500</v>
      </c>
      <c r="Z57" s="40">
        <f t="shared" si="8"/>
        <v>1.4109213616393483</v>
      </c>
      <c r="AA57" s="40">
        <f t="shared" si="9"/>
        <v>0.89208798802257283</v>
      </c>
      <c r="AB57" s="40">
        <f t="shared" si="11"/>
        <v>0.89208798802257283</v>
      </c>
      <c r="AC57" s="621">
        <f t="shared" si="10"/>
        <v>25.312284669800732</v>
      </c>
      <c r="AD57" s="622">
        <f t="shared" si="12"/>
        <v>20.464803508204653</v>
      </c>
      <c r="AE57" s="167"/>
    </row>
    <row r="58" spans="1:31" x14ac:dyDescent="0.2">
      <c r="A58" s="36">
        <v>318</v>
      </c>
      <c r="B58" s="36" t="s">
        <v>230</v>
      </c>
      <c r="C58" s="36" t="s">
        <v>215</v>
      </c>
      <c r="D58" s="36">
        <v>104</v>
      </c>
      <c r="E58" s="36" t="s">
        <v>231</v>
      </c>
      <c r="F58" s="36">
        <v>1</v>
      </c>
      <c r="G58" s="36" t="s">
        <v>233</v>
      </c>
      <c r="H58" s="52">
        <v>45</v>
      </c>
      <c r="I58" s="53">
        <v>47</v>
      </c>
      <c r="J58" s="177">
        <v>978.05</v>
      </c>
      <c r="K58" s="177">
        <v>978.07</v>
      </c>
      <c r="L58" s="176">
        <v>978.06</v>
      </c>
      <c r="M58" s="175"/>
      <c r="N58" s="198"/>
      <c r="O58" s="198" t="s">
        <v>602</v>
      </c>
      <c r="P58" s="50"/>
      <c r="Q58" s="172">
        <v>154000</v>
      </c>
      <c r="R58" s="54">
        <v>31200</v>
      </c>
      <c r="S58" s="54">
        <v>0</v>
      </c>
      <c r="T58" s="54">
        <v>270000</v>
      </c>
      <c r="U58" s="54">
        <v>87000</v>
      </c>
      <c r="V58" s="54">
        <v>28500</v>
      </c>
      <c r="W58" s="54">
        <v>3500000</v>
      </c>
      <c r="X58" s="54">
        <v>147000</v>
      </c>
      <c r="Y58" s="55">
        <v>133000</v>
      </c>
      <c r="Z58" s="40">
        <f t="shared" si="8"/>
        <v>1.2071254927956501</v>
      </c>
      <c r="AA58" s="40">
        <f t="shared" si="9"/>
        <v>0.86882570620819644</v>
      </c>
      <c r="AB58" s="40">
        <f t="shared" si="11"/>
        <v>0.87510128487093408</v>
      </c>
      <c r="AC58" s="621">
        <f t="shared" si="10"/>
        <v>26.054661952770498</v>
      </c>
      <c r="AD58" s="622">
        <f t="shared" si="12"/>
        <v>21.093738286847621</v>
      </c>
      <c r="AE58" s="167"/>
    </row>
    <row r="59" spans="1:31" x14ac:dyDescent="0.2">
      <c r="A59" s="36">
        <v>318</v>
      </c>
      <c r="B59" s="36" t="s">
        <v>230</v>
      </c>
      <c r="C59" s="36" t="s">
        <v>215</v>
      </c>
      <c r="D59" s="36">
        <v>104</v>
      </c>
      <c r="E59" s="36" t="s">
        <v>231</v>
      </c>
      <c r="F59" s="36">
        <v>1</v>
      </c>
      <c r="G59" s="36" t="s">
        <v>233</v>
      </c>
      <c r="H59" s="52">
        <v>75</v>
      </c>
      <c r="I59" s="53">
        <v>77</v>
      </c>
      <c r="J59" s="177">
        <v>978.35</v>
      </c>
      <c r="K59" s="177">
        <v>978.37</v>
      </c>
      <c r="L59" s="176">
        <v>978.36</v>
      </c>
      <c r="M59" s="175"/>
      <c r="N59" s="198"/>
      <c r="O59" s="198" t="s">
        <v>602</v>
      </c>
      <c r="P59" s="50"/>
      <c r="Q59" s="172">
        <v>59300</v>
      </c>
      <c r="R59" s="54">
        <v>0</v>
      </c>
      <c r="S59" s="54">
        <v>0</v>
      </c>
      <c r="T59" s="54">
        <v>110000</v>
      </c>
      <c r="U59" s="54">
        <v>22200</v>
      </c>
      <c r="V59" s="54">
        <v>0</v>
      </c>
      <c r="W59" s="54">
        <v>1880000</v>
      </c>
      <c r="X59" s="54">
        <v>61000</v>
      </c>
      <c r="Y59" s="55">
        <v>33000</v>
      </c>
      <c r="Z59" s="40">
        <f t="shared" si="8"/>
        <v>1.3787297501189828</v>
      </c>
      <c r="AA59" s="40">
        <f t="shared" si="9"/>
        <v>0.91156776725929345</v>
      </c>
      <c r="AB59" s="40">
        <f t="shared" si="11"/>
        <v>0.91156776725929345</v>
      </c>
      <c r="AC59" s="621">
        <f t="shared" si="10"/>
        <v>26.587265199352185</v>
      </c>
      <c r="AD59" s="622">
        <f t="shared" si="12"/>
        <v>21.251203101863467</v>
      </c>
      <c r="AE59" s="167"/>
    </row>
    <row r="60" spans="1:31" x14ac:dyDescent="0.2">
      <c r="A60" s="36">
        <v>318</v>
      </c>
      <c r="B60" s="36" t="s">
        <v>230</v>
      </c>
      <c r="C60" s="36" t="s">
        <v>215</v>
      </c>
      <c r="D60" s="36">
        <v>104</v>
      </c>
      <c r="E60" s="36" t="s">
        <v>231</v>
      </c>
      <c r="F60" s="36">
        <v>1</v>
      </c>
      <c r="G60" s="36" t="s">
        <v>233</v>
      </c>
      <c r="H60" s="52">
        <v>135</v>
      </c>
      <c r="I60" s="53">
        <v>137</v>
      </c>
      <c r="J60" s="177">
        <v>978.95</v>
      </c>
      <c r="K60" s="177">
        <v>978.97</v>
      </c>
      <c r="L60" s="176">
        <v>978.96</v>
      </c>
      <c r="M60" s="175"/>
      <c r="N60" s="198"/>
      <c r="O60" s="198" t="s">
        <v>602</v>
      </c>
      <c r="P60" s="50"/>
      <c r="Q60" s="172">
        <v>42600</v>
      </c>
      <c r="R60" s="54">
        <v>0</v>
      </c>
      <c r="S60" s="54">
        <v>0</v>
      </c>
      <c r="T60" s="54">
        <v>90000</v>
      </c>
      <c r="U60" s="54">
        <v>23800</v>
      </c>
      <c r="V60" s="54">
        <v>11600</v>
      </c>
      <c r="W60" s="54">
        <v>1130000</v>
      </c>
      <c r="X60" s="54">
        <v>38100</v>
      </c>
      <c r="Y60" s="55">
        <v>21000</v>
      </c>
      <c r="Z60" s="40">
        <f t="shared" si="8"/>
        <v>1.2946691816546303</v>
      </c>
      <c r="AA60" s="40">
        <f t="shared" si="9"/>
        <v>0.87620661705106473</v>
      </c>
      <c r="AB60" s="40">
        <f t="shared" si="11"/>
        <v>0.87620661705106473</v>
      </c>
      <c r="AC60" s="621">
        <f t="shared" si="10"/>
        <v>25.605174004082443</v>
      </c>
      <c r="AD60" s="622">
        <f t="shared" si="12"/>
        <v>20.631630868601253</v>
      </c>
      <c r="AE60" s="167"/>
    </row>
    <row r="61" spans="1:31" x14ac:dyDescent="0.2">
      <c r="A61" s="36">
        <v>318</v>
      </c>
      <c r="B61" s="36" t="s">
        <v>230</v>
      </c>
      <c r="C61" s="36" t="s">
        <v>215</v>
      </c>
      <c r="D61" s="36">
        <v>104</v>
      </c>
      <c r="E61" s="36" t="s">
        <v>231</v>
      </c>
      <c r="F61" s="36">
        <v>2</v>
      </c>
      <c r="G61" s="36" t="s">
        <v>233</v>
      </c>
      <c r="H61" s="52">
        <v>15</v>
      </c>
      <c r="I61" s="53">
        <v>16</v>
      </c>
      <c r="J61" s="177">
        <v>979.21</v>
      </c>
      <c r="K61" s="177">
        <v>979.22</v>
      </c>
      <c r="L61" s="176">
        <v>979.21500000000003</v>
      </c>
      <c r="M61" s="175"/>
      <c r="N61" s="198"/>
      <c r="O61" s="198" t="s">
        <v>602</v>
      </c>
      <c r="P61" s="50"/>
      <c r="Q61" s="172">
        <v>55200</v>
      </c>
      <c r="R61" s="54">
        <v>0</v>
      </c>
      <c r="S61" s="54">
        <v>0</v>
      </c>
      <c r="T61" s="54">
        <v>109000</v>
      </c>
      <c r="U61" s="54">
        <v>27800</v>
      </c>
      <c r="V61" s="54">
        <v>11500</v>
      </c>
      <c r="W61" s="54">
        <v>1430000</v>
      </c>
      <c r="X61" s="54">
        <v>50200</v>
      </c>
      <c r="Y61" s="55">
        <v>27800</v>
      </c>
      <c r="Z61" s="40">
        <f t="shared" si="8"/>
        <v>1.2951440171409982</v>
      </c>
      <c r="AA61" s="40">
        <f t="shared" si="9"/>
        <v>0.88109845165059886</v>
      </c>
      <c r="AB61" s="40">
        <f t="shared" si="11"/>
        <v>0.88109845165059886</v>
      </c>
      <c r="AC61" s="621">
        <f t="shared" si="10"/>
        <v>25.845326022261609</v>
      </c>
      <c r="AD61" s="622">
        <f t="shared" si="12"/>
        <v>20.780585423979105</v>
      </c>
      <c r="AE61" s="167"/>
    </row>
    <row r="62" spans="1:31" x14ac:dyDescent="0.2">
      <c r="A62" s="36">
        <v>318</v>
      </c>
      <c r="B62" s="36" t="s">
        <v>230</v>
      </c>
      <c r="C62" s="36" t="s">
        <v>215</v>
      </c>
      <c r="D62" s="36">
        <v>104</v>
      </c>
      <c r="E62" s="36" t="s">
        <v>231</v>
      </c>
      <c r="F62" s="36">
        <v>2</v>
      </c>
      <c r="G62" s="36" t="s">
        <v>233</v>
      </c>
      <c r="H62" s="52">
        <v>45</v>
      </c>
      <c r="I62" s="53">
        <v>47</v>
      </c>
      <c r="J62" s="177">
        <v>979.51</v>
      </c>
      <c r="K62" s="177">
        <v>979.53</v>
      </c>
      <c r="L62" s="176">
        <v>979.52</v>
      </c>
      <c r="M62" s="175"/>
      <c r="N62" s="198"/>
      <c r="O62" s="198" t="s">
        <v>602</v>
      </c>
      <c r="P62" s="50"/>
      <c r="Q62" s="172">
        <v>99400</v>
      </c>
      <c r="R62" s="54">
        <v>20200</v>
      </c>
      <c r="S62" s="54">
        <v>0</v>
      </c>
      <c r="T62" s="54">
        <v>138000</v>
      </c>
      <c r="U62" s="54">
        <v>51800</v>
      </c>
      <c r="V62" s="54">
        <v>20800</v>
      </c>
      <c r="W62" s="54">
        <v>1520000</v>
      </c>
      <c r="X62" s="54">
        <v>58500</v>
      </c>
      <c r="Y62" s="55">
        <v>30300</v>
      </c>
      <c r="Z62" s="40">
        <f t="shared" si="8"/>
        <v>1.1770090137740641</v>
      </c>
      <c r="AA62" s="40">
        <f t="shared" si="9"/>
        <v>0.82970603403816401</v>
      </c>
      <c r="AB62" s="40">
        <f t="shared" si="11"/>
        <v>0.83844069209922867</v>
      </c>
      <c r="AC62" s="621">
        <f t="shared" si="10"/>
        <v>24.380267423120699</v>
      </c>
      <c r="AD62" s="622">
        <f t="shared" si="12"/>
        <v>20.128020346977145</v>
      </c>
      <c r="AE62" s="167"/>
    </row>
    <row r="63" spans="1:31" x14ac:dyDescent="0.2">
      <c r="A63" s="36">
        <v>318</v>
      </c>
      <c r="B63" s="36" t="s">
        <v>230</v>
      </c>
      <c r="C63" s="36" t="s">
        <v>215</v>
      </c>
      <c r="D63" s="36">
        <v>104</v>
      </c>
      <c r="E63" s="36" t="s">
        <v>231</v>
      </c>
      <c r="F63" s="36">
        <v>2</v>
      </c>
      <c r="G63" s="36" t="s">
        <v>233</v>
      </c>
      <c r="H63" s="52">
        <v>75</v>
      </c>
      <c r="I63" s="53">
        <v>77</v>
      </c>
      <c r="J63" s="177">
        <v>979.81</v>
      </c>
      <c r="K63" s="177">
        <v>979.83</v>
      </c>
      <c r="L63" s="176">
        <v>979.82</v>
      </c>
      <c r="M63" s="175"/>
      <c r="N63" s="198"/>
      <c r="O63" s="198" t="s">
        <v>602</v>
      </c>
      <c r="P63" s="50"/>
      <c r="Q63" s="172">
        <v>97600</v>
      </c>
      <c r="R63" s="54">
        <v>0</v>
      </c>
      <c r="S63" s="54">
        <v>0</v>
      </c>
      <c r="T63" s="54">
        <v>261000</v>
      </c>
      <c r="U63" s="54">
        <v>55300</v>
      </c>
      <c r="V63" s="54">
        <v>0</v>
      </c>
      <c r="W63" s="54">
        <v>2300000</v>
      </c>
      <c r="X63" s="54">
        <v>94900</v>
      </c>
      <c r="Y63" s="55">
        <v>59500</v>
      </c>
      <c r="Z63" s="40">
        <f t="shared" si="8"/>
        <v>1.2317396458002801</v>
      </c>
      <c r="AA63" s="40">
        <f t="shared" si="9"/>
        <v>0.85569849736777881</v>
      </c>
      <c r="AB63" s="40">
        <f t="shared" si="11"/>
        <v>0.85569849736777881</v>
      </c>
      <c r="AC63" s="621">
        <f t="shared" si="10"/>
        <v>25.168159180156323</v>
      </c>
      <c r="AD63" s="622">
        <f t="shared" si="12"/>
        <v>20.352689626713556</v>
      </c>
      <c r="AE63" s="167"/>
    </row>
    <row r="64" spans="1:31" x14ac:dyDescent="0.2">
      <c r="A64" s="36">
        <v>318</v>
      </c>
      <c r="B64" s="36" t="s">
        <v>230</v>
      </c>
      <c r="C64" s="36" t="s">
        <v>215</v>
      </c>
      <c r="D64" s="36">
        <v>104</v>
      </c>
      <c r="E64" s="36" t="s">
        <v>231</v>
      </c>
      <c r="F64" s="36">
        <v>2</v>
      </c>
      <c r="G64" s="36" t="s">
        <v>233</v>
      </c>
      <c r="H64" s="52">
        <v>105</v>
      </c>
      <c r="I64" s="53">
        <v>107</v>
      </c>
      <c r="J64" s="177">
        <v>980.11</v>
      </c>
      <c r="K64" s="177">
        <v>980.13</v>
      </c>
      <c r="L64" s="176">
        <v>980.12</v>
      </c>
      <c r="M64" s="175"/>
      <c r="N64" s="198"/>
      <c r="O64" s="198" t="s">
        <v>602</v>
      </c>
      <c r="P64" s="50"/>
      <c r="Q64" s="172">
        <v>131000</v>
      </c>
      <c r="R64" s="54">
        <v>0</v>
      </c>
      <c r="S64" s="54">
        <v>0</v>
      </c>
      <c r="T64" s="54">
        <v>248000</v>
      </c>
      <c r="U64" s="54">
        <v>44900</v>
      </c>
      <c r="V64" s="54">
        <v>12100</v>
      </c>
      <c r="W64" s="54">
        <v>2520000</v>
      </c>
      <c r="X64" s="54">
        <v>110000</v>
      </c>
      <c r="Y64" s="55">
        <v>62400</v>
      </c>
      <c r="Z64" s="40">
        <f t="shared" si="8"/>
        <v>1.2521146680255142</v>
      </c>
      <c r="AA64" s="40">
        <f t="shared" si="9"/>
        <v>0.8606316327835315</v>
      </c>
      <c r="AB64" s="40">
        <f t="shared" si="11"/>
        <v>0.8606316327835315</v>
      </c>
      <c r="AC64" s="621">
        <f t="shared" si="10"/>
        <v>25.224309493138019</v>
      </c>
      <c r="AD64" s="622">
        <f t="shared" si="12"/>
        <v>20.390090448584814</v>
      </c>
      <c r="AE64" s="167"/>
    </row>
    <row r="65" spans="1:31" x14ac:dyDescent="0.2">
      <c r="A65" s="36">
        <v>318</v>
      </c>
      <c r="B65" s="36" t="s">
        <v>230</v>
      </c>
      <c r="C65" s="36" t="s">
        <v>215</v>
      </c>
      <c r="D65" s="36">
        <v>104</v>
      </c>
      <c r="E65" s="36" t="s">
        <v>231</v>
      </c>
      <c r="F65" s="36">
        <v>2</v>
      </c>
      <c r="G65" s="36" t="s">
        <v>233</v>
      </c>
      <c r="H65" s="52">
        <v>135</v>
      </c>
      <c r="I65" s="53">
        <v>137</v>
      </c>
      <c r="J65" s="177">
        <v>980.41</v>
      </c>
      <c r="K65" s="177">
        <v>980.43</v>
      </c>
      <c r="L65" s="176">
        <v>980.42</v>
      </c>
      <c r="M65" s="175"/>
      <c r="N65" s="198"/>
      <c r="O65" s="198" t="s">
        <v>602</v>
      </c>
      <c r="P65" s="50"/>
      <c r="Q65" s="172">
        <v>420000</v>
      </c>
      <c r="R65" s="54">
        <v>0</v>
      </c>
      <c r="S65" s="54">
        <v>0</v>
      </c>
      <c r="T65" s="54">
        <v>982000</v>
      </c>
      <c r="U65" s="54">
        <v>190000</v>
      </c>
      <c r="V65" s="54">
        <v>55800</v>
      </c>
      <c r="W65" s="54">
        <v>8880000</v>
      </c>
      <c r="X65" s="54">
        <v>434000</v>
      </c>
      <c r="Y65" s="55">
        <v>209000</v>
      </c>
      <c r="Z65" s="40">
        <f t="shared" si="8"/>
        <v>1.198780408512695</v>
      </c>
      <c r="AA65" s="40">
        <f t="shared" si="9"/>
        <v>0.85249042145593867</v>
      </c>
      <c r="AB65" s="40">
        <f t="shared" si="11"/>
        <v>0.85249042145593867</v>
      </c>
      <c r="AC65" s="621">
        <f t="shared" si="10"/>
        <v>25.315924253203235</v>
      </c>
      <c r="AD65" s="622">
        <f t="shared" si="12"/>
        <v>20.440118148867118</v>
      </c>
      <c r="AE65" s="167"/>
    </row>
    <row r="66" spans="1:31" x14ac:dyDescent="0.2">
      <c r="A66" s="36">
        <v>318</v>
      </c>
      <c r="B66" s="36" t="s">
        <v>230</v>
      </c>
      <c r="C66" s="36" t="s">
        <v>215</v>
      </c>
      <c r="D66" s="36">
        <v>104</v>
      </c>
      <c r="E66" s="36" t="s">
        <v>231</v>
      </c>
      <c r="F66" s="36">
        <v>3</v>
      </c>
      <c r="G66" s="36" t="s">
        <v>233</v>
      </c>
      <c r="H66" s="52">
        <v>15</v>
      </c>
      <c r="I66" s="53">
        <v>16</v>
      </c>
      <c r="J66" s="177">
        <v>980.7</v>
      </c>
      <c r="K66" s="177">
        <v>980.71</v>
      </c>
      <c r="L66" s="176">
        <v>980.70500000000004</v>
      </c>
      <c r="M66" s="175"/>
      <c r="N66" s="198"/>
      <c r="O66" s="198" t="s">
        <v>602</v>
      </c>
      <c r="P66" s="50"/>
      <c r="Q66" s="172">
        <v>57900</v>
      </c>
      <c r="R66" s="54">
        <v>0</v>
      </c>
      <c r="S66" s="54">
        <v>0</v>
      </c>
      <c r="T66" s="54">
        <v>137000</v>
      </c>
      <c r="U66" s="54">
        <v>29400</v>
      </c>
      <c r="V66" s="54">
        <v>0</v>
      </c>
      <c r="W66" s="54">
        <v>1570000</v>
      </c>
      <c r="X66" s="54">
        <v>58900</v>
      </c>
      <c r="Y66" s="55">
        <v>29200</v>
      </c>
      <c r="Z66" s="40">
        <f t="shared" si="8"/>
        <v>1.2862728175371649</v>
      </c>
      <c r="AA66" s="40">
        <f t="shared" si="9"/>
        <v>0.88084360390990224</v>
      </c>
      <c r="AB66" s="40">
        <f t="shared" si="11"/>
        <v>0.88084360390990224</v>
      </c>
      <c r="AC66" s="621">
        <f t="shared" si="10"/>
        <v>25.915529351522622</v>
      </c>
      <c r="AD66" s="622">
        <f t="shared" si="12"/>
        <v>20.822984845771245</v>
      </c>
      <c r="AE66" s="167"/>
    </row>
    <row r="67" spans="1:31" x14ac:dyDescent="0.2">
      <c r="A67" s="36">
        <v>318</v>
      </c>
      <c r="B67" s="36" t="s">
        <v>230</v>
      </c>
      <c r="C67" s="36" t="s">
        <v>215</v>
      </c>
      <c r="D67" s="36">
        <v>104</v>
      </c>
      <c r="E67" s="36" t="s">
        <v>231</v>
      </c>
      <c r="F67" s="36">
        <v>3</v>
      </c>
      <c r="G67" s="36" t="s">
        <v>233</v>
      </c>
      <c r="H67" s="52">
        <v>45</v>
      </c>
      <c r="I67" s="53">
        <v>47</v>
      </c>
      <c r="J67" s="177">
        <v>981</v>
      </c>
      <c r="K67" s="177">
        <v>981.02</v>
      </c>
      <c r="L67" s="176">
        <v>981.01</v>
      </c>
      <c r="M67" s="175"/>
      <c r="N67" s="198"/>
      <c r="O67" s="198" t="s">
        <v>602</v>
      </c>
      <c r="P67" s="50"/>
      <c r="Q67" s="172">
        <v>39600</v>
      </c>
      <c r="R67" s="54">
        <v>0</v>
      </c>
      <c r="S67" s="54">
        <v>0</v>
      </c>
      <c r="T67" s="54">
        <v>74500</v>
      </c>
      <c r="U67" s="54">
        <v>13700</v>
      </c>
      <c r="V67" s="54">
        <v>0</v>
      </c>
      <c r="W67" s="54">
        <v>1090000</v>
      </c>
      <c r="X67" s="54">
        <v>31500</v>
      </c>
      <c r="Y67" s="55">
        <v>15100</v>
      </c>
      <c r="Z67" s="40">
        <f t="shared" si="8"/>
        <v>1.4110010580593173</v>
      </c>
      <c r="AA67" s="40">
        <f t="shared" si="9"/>
        <v>0.89892439101550148</v>
      </c>
      <c r="AB67" s="40">
        <f t="shared" si="11"/>
        <v>0.89892439101550148</v>
      </c>
      <c r="AC67" s="621">
        <f t="shared" si="10"/>
        <v>25.653359657920461</v>
      </c>
      <c r="AD67" s="622">
        <f t="shared" si="12"/>
        <v>20.676280122284219</v>
      </c>
      <c r="AE67" s="167"/>
    </row>
    <row r="68" spans="1:31" x14ac:dyDescent="0.2">
      <c r="A68" s="36">
        <v>318</v>
      </c>
      <c r="B68" s="36" t="s">
        <v>230</v>
      </c>
      <c r="C68" s="36" t="s">
        <v>215</v>
      </c>
      <c r="D68" s="36">
        <v>104</v>
      </c>
      <c r="E68" s="36" t="s">
        <v>231</v>
      </c>
      <c r="F68" s="36">
        <v>3</v>
      </c>
      <c r="G68" s="36" t="s">
        <v>233</v>
      </c>
      <c r="H68" s="52">
        <v>105</v>
      </c>
      <c r="I68" s="53">
        <v>107</v>
      </c>
      <c r="J68" s="177">
        <v>981.6</v>
      </c>
      <c r="K68" s="177">
        <v>981.62</v>
      </c>
      <c r="L68" s="176">
        <v>981.61</v>
      </c>
      <c r="M68" s="175"/>
      <c r="N68" s="198"/>
      <c r="O68" s="198" t="s">
        <v>602</v>
      </c>
      <c r="P68" s="50"/>
      <c r="Q68" s="172">
        <v>71700</v>
      </c>
      <c r="R68" s="54">
        <v>0</v>
      </c>
      <c r="S68" s="54">
        <v>0</v>
      </c>
      <c r="T68" s="54">
        <v>162000</v>
      </c>
      <c r="U68" s="54">
        <v>36000</v>
      </c>
      <c r="V68" s="54">
        <v>11600</v>
      </c>
      <c r="W68" s="54">
        <v>2680000</v>
      </c>
      <c r="X68" s="54">
        <v>66800</v>
      </c>
      <c r="Y68" s="55">
        <v>38500</v>
      </c>
      <c r="Z68" s="40">
        <f t="shared" si="8"/>
        <v>1.4416309589321941</v>
      </c>
      <c r="AA68" s="40">
        <f t="shared" si="9"/>
        <v>0.90826974499445645</v>
      </c>
      <c r="AB68" s="40">
        <f t="shared" si="11"/>
        <v>0.90826974499445645</v>
      </c>
      <c r="AC68" s="621">
        <f t="shared" si="10"/>
        <v>25.834237783706808</v>
      </c>
      <c r="AD68" s="622">
        <f t="shared" si="12"/>
        <v>20.792314557682609</v>
      </c>
      <c r="AE68" s="167"/>
    </row>
    <row r="69" spans="1:31" x14ac:dyDescent="0.2">
      <c r="A69" s="36">
        <v>318</v>
      </c>
      <c r="B69" s="36" t="s">
        <v>230</v>
      </c>
      <c r="C69" s="36" t="s">
        <v>215</v>
      </c>
      <c r="D69" s="36">
        <v>104</v>
      </c>
      <c r="E69" s="36" t="s">
        <v>231</v>
      </c>
      <c r="F69" s="36">
        <v>3</v>
      </c>
      <c r="G69" s="36" t="s">
        <v>233</v>
      </c>
      <c r="H69" s="52">
        <v>135</v>
      </c>
      <c r="I69" s="53">
        <v>137</v>
      </c>
      <c r="J69" s="177">
        <v>981.9</v>
      </c>
      <c r="K69" s="177">
        <v>981.92</v>
      </c>
      <c r="L69" s="176">
        <v>981.91</v>
      </c>
      <c r="M69" s="175"/>
      <c r="N69" s="198"/>
      <c r="O69" s="198" t="s">
        <v>602</v>
      </c>
      <c r="P69" s="50"/>
      <c r="Q69" s="172">
        <v>537000</v>
      </c>
      <c r="R69" s="54">
        <v>52100</v>
      </c>
      <c r="S69" s="54">
        <v>0</v>
      </c>
      <c r="T69" s="54">
        <v>1110000</v>
      </c>
      <c r="U69" s="54">
        <v>232000</v>
      </c>
      <c r="V69" s="54">
        <v>53800</v>
      </c>
      <c r="W69" s="54">
        <v>13300000</v>
      </c>
      <c r="X69" s="54">
        <v>604000</v>
      </c>
      <c r="Y69" s="55">
        <v>305000</v>
      </c>
      <c r="Z69" s="40">
        <f t="shared" si="8"/>
        <v>1.2364577033749728</v>
      </c>
      <c r="AA69" s="40">
        <f t="shared" si="9"/>
        <v>0.87742915542272093</v>
      </c>
      <c r="AB69" s="40">
        <f t="shared" si="11"/>
        <v>0.88026118524575947</v>
      </c>
      <c r="AC69" s="621">
        <f t="shared" si="10"/>
        <v>26.210578244580052</v>
      </c>
      <c r="AD69" s="622">
        <f t="shared" si="12"/>
        <v>21.087381564482445</v>
      </c>
      <c r="AE69" s="167"/>
    </row>
    <row r="70" spans="1:31" x14ac:dyDescent="0.2">
      <c r="A70" s="36">
        <v>318</v>
      </c>
      <c r="B70" s="36" t="s">
        <v>230</v>
      </c>
      <c r="C70" s="36" t="s">
        <v>215</v>
      </c>
      <c r="D70" s="36">
        <v>104</v>
      </c>
      <c r="E70" s="36" t="s">
        <v>231</v>
      </c>
      <c r="F70" s="36">
        <v>4</v>
      </c>
      <c r="G70" s="36" t="s">
        <v>233</v>
      </c>
      <c r="H70" s="52">
        <v>45</v>
      </c>
      <c r="I70" s="53">
        <v>47</v>
      </c>
      <c r="J70" s="177">
        <v>982.47</v>
      </c>
      <c r="K70" s="177">
        <v>982.49</v>
      </c>
      <c r="L70" s="176">
        <v>982.48</v>
      </c>
      <c r="M70" s="175"/>
      <c r="N70" s="198"/>
      <c r="O70" s="198" t="s">
        <v>602</v>
      </c>
      <c r="P70" s="50"/>
      <c r="Q70" s="172">
        <v>85600</v>
      </c>
      <c r="R70" s="54">
        <v>0</v>
      </c>
      <c r="S70" s="54">
        <v>12400</v>
      </c>
      <c r="T70" s="54">
        <v>194000</v>
      </c>
      <c r="U70" s="54">
        <v>36000</v>
      </c>
      <c r="V70" s="54">
        <v>0</v>
      </c>
      <c r="W70" s="54">
        <v>2360000</v>
      </c>
      <c r="X70" s="54">
        <v>81900</v>
      </c>
      <c r="Y70" s="55">
        <v>42400</v>
      </c>
      <c r="Z70" s="40">
        <f t="shared" si="8"/>
        <v>1.3357070878323074</v>
      </c>
      <c r="AA70" s="40">
        <f t="shared" si="9"/>
        <v>0.88336948405219928</v>
      </c>
      <c r="AB70" s="40">
        <f t="shared" si="11"/>
        <v>0.88728168863173684</v>
      </c>
      <c r="AC70" s="621">
        <f t="shared" si="10"/>
        <v>25.579612931377895</v>
      </c>
      <c r="AD70" s="622">
        <f t="shared" si="12"/>
        <v>20.742273159574658</v>
      </c>
      <c r="AE70" s="167"/>
    </row>
    <row r="71" spans="1:31" x14ac:dyDescent="0.2">
      <c r="A71" s="36">
        <v>318</v>
      </c>
      <c r="B71" s="36" t="s">
        <v>230</v>
      </c>
      <c r="C71" s="36" t="s">
        <v>215</v>
      </c>
      <c r="D71" s="36">
        <v>104</v>
      </c>
      <c r="E71" s="36" t="s">
        <v>231</v>
      </c>
      <c r="F71" s="36">
        <v>4</v>
      </c>
      <c r="G71" s="36" t="s">
        <v>233</v>
      </c>
      <c r="H71" s="52">
        <v>105</v>
      </c>
      <c r="I71" s="53">
        <v>107</v>
      </c>
      <c r="J71" s="177">
        <v>983.07</v>
      </c>
      <c r="K71" s="177">
        <v>983.09</v>
      </c>
      <c r="L71" s="176">
        <v>983.08</v>
      </c>
      <c r="M71" s="175"/>
      <c r="N71" s="198"/>
      <c r="O71" s="198" t="s">
        <v>602</v>
      </c>
      <c r="P71" s="50"/>
      <c r="Q71" s="172">
        <v>542000</v>
      </c>
      <c r="R71" s="54">
        <v>0</v>
      </c>
      <c r="S71" s="54">
        <v>0</v>
      </c>
      <c r="T71" s="54">
        <v>1390000</v>
      </c>
      <c r="U71" s="54">
        <v>255000</v>
      </c>
      <c r="V71" s="54">
        <v>74400</v>
      </c>
      <c r="W71" s="54">
        <v>5310000</v>
      </c>
      <c r="X71" s="54">
        <v>472000</v>
      </c>
      <c r="Y71" s="55">
        <v>192000</v>
      </c>
      <c r="Z71" s="40">
        <f t="shared" si="8"/>
        <v>0.96454039184178864</v>
      </c>
      <c r="AA71" s="40">
        <f t="shared" si="9"/>
        <v>0.72540495907909752</v>
      </c>
      <c r="AB71" s="40">
        <f t="shared" si="11"/>
        <v>0.72540495907909752</v>
      </c>
      <c r="AC71" s="621">
        <f t="shared" si="10"/>
        <v>21.151795290234155</v>
      </c>
      <c r="AD71" s="622">
        <f t="shared" si="12"/>
        <v>17.828609709709085</v>
      </c>
      <c r="AE71" s="167"/>
    </row>
    <row r="72" spans="1:31" x14ac:dyDescent="0.2">
      <c r="A72" s="36">
        <v>318</v>
      </c>
      <c r="B72" s="36" t="s">
        <v>230</v>
      </c>
      <c r="C72" s="36" t="s">
        <v>215</v>
      </c>
      <c r="D72" s="36">
        <v>104</v>
      </c>
      <c r="E72" s="36" t="s">
        <v>231</v>
      </c>
      <c r="F72" s="36">
        <v>5</v>
      </c>
      <c r="G72" s="36" t="s">
        <v>233</v>
      </c>
      <c r="H72" s="52">
        <v>30</v>
      </c>
      <c r="I72" s="53">
        <v>32</v>
      </c>
      <c r="J72" s="177">
        <v>983.65</v>
      </c>
      <c r="K72" s="177">
        <v>983.67</v>
      </c>
      <c r="L72" s="176">
        <v>983.66</v>
      </c>
      <c r="M72" s="175"/>
      <c r="N72" s="198"/>
      <c r="O72" s="198" t="s">
        <v>602</v>
      </c>
      <c r="P72" s="50"/>
      <c r="Q72" s="172">
        <v>46000</v>
      </c>
      <c r="R72" s="54">
        <v>0</v>
      </c>
      <c r="S72" s="54">
        <v>0</v>
      </c>
      <c r="T72" s="54">
        <v>136000</v>
      </c>
      <c r="U72" s="54">
        <v>16400</v>
      </c>
      <c r="V72" s="54">
        <v>0</v>
      </c>
      <c r="W72" s="54">
        <v>1600000</v>
      </c>
      <c r="X72" s="54">
        <v>56400</v>
      </c>
      <c r="Y72" s="55">
        <v>23700</v>
      </c>
      <c r="Z72" s="40">
        <f t="shared" si="8"/>
        <v>1.3774183415274359</v>
      </c>
      <c r="AA72" s="40">
        <f t="shared" si="9"/>
        <v>0.89438381687516633</v>
      </c>
      <c r="AB72" s="40">
        <f t="shared" si="11"/>
        <v>0.89438381687516633</v>
      </c>
      <c r="AC72" s="621">
        <f t="shared" si="10"/>
        <v>25.740329350476788</v>
      </c>
      <c r="AD72" s="622">
        <f t="shared" si="12"/>
        <v>20.725936326669597</v>
      </c>
      <c r="AE72" s="167"/>
    </row>
    <row r="73" spans="1:31" x14ac:dyDescent="0.2">
      <c r="A73" s="36">
        <v>318</v>
      </c>
      <c r="B73" s="36" t="s">
        <v>230</v>
      </c>
      <c r="C73" s="36" t="s">
        <v>215</v>
      </c>
      <c r="D73" s="36">
        <v>104</v>
      </c>
      <c r="E73" s="36" t="s">
        <v>231</v>
      </c>
      <c r="F73" s="36">
        <v>5</v>
      </c>
      <c r="G73" s="36" t="s">
        <v>233</v>
      </c>
      <c r="H73" s="52">
        <v>60</v>
      </c>
      <c r="I73" s="53">
        <v>62</v>
      </c>
      <c r="J73" s="177">
        <v>983.95</v>
      </c>
      <c r="K73" s="177">
        <v>983.97</v>
      </c>
      <c r="L73" s="176">
        <v>983.96</v>
      </c>
      <c r="M73" s="175"/>
      <c r="N73" s="198"/>
      <c r="O73" s="198" t="s">
        <v>602</v>
      </c>
      <c r="P73" s="50"/>
      <c r="Q73" s="172">
        <v>36100</v>
      </c>
      <c r="R73" s="54">
        <v>0</v>
      </c>
      <c r="S73" s="54">
        <v>0</v>
      </c>
      <c r="T73" s="54">
        <v>92600</v>
      </c>
      <c r="U73" s="54">
        <v>28100</v>
      </c>
      <c r="V73" s="54">
        <v>11300</v>
      </c>
      <c r="W73" s="54">
        <v>1570000</v>
      </c>
      <c r="X73" s="54">
        <v>45500</v>
      </c>
      <c r="Y73" s="55">
        <v>25400</v>
      </c>
      <c r="Z73" s="40">
        <f t="shared" si="8"/>
        <v>1.3539099618283765</v>
      </c>
      <c r="AA73" s="40">
        <f t="shared" si="9"/>
        <v>0.90707573244886675</v>
      </c>
      <c r="AB73" s="40">
        <f t="shared" si="11"/>
        <v>0.90707573244886675</v>
      </c>
      <c r="AC73" s="621">
        <f t="shared" si="10"/>
        <v>26.594728479348017</v>
      </c>
      <c r="AD73" s="622">
        <f t="shared" si="12"/>
        <v>21.252678222347974</v>
      </c>
      <c r="AE73" s="167"/>
    </row>
    <row r="74" spans="1:31" x14ac:dyDescent="0.2">
      <c r="A74" s="36">
        <v>318</v>
      </c>
      <c r="B74" s="36" t="s">
        <v>230</v>
      </c>
      <c r="C74" s="36" t="s">
        <v>215</v>
      </c>
      <c r="D74" s="36">
        <v>104</v>
      </c>
      <c r="E74" s="36" t="s">
        <v>231</v>
      </c>
      <c r="F74" s="36">
        <v>5</v>
      </c>
      <c r="G74" s="36" t="s">
        <v>233</v>
      </c>
      <c r="H74" s="52">
        <v>90</v>
      </c>
      <c r="I74" s="53">
        <v>92</v>
      </c>
      <c r="J74" s="177">
        <v>984.25</v>
      </c>
      <c r="K74" s="177">
        <v>984.27</v>
      </c>
      <c r="L74" s="176">
        <v>984.26</v>
      </c>
      <c r="M74" s="175"/>
      <c r="N74" s="198"/>
      <c r="O74" s="198" t="s">
        <v>602</v>
      </c>
      <c r="P74" s="50"/>
      <c r="Q74" s="172">
        <v>95400</v>
      </c>
      <c r="R74" s="54">
        <v>0</v>
      </c>
      <c r="S74" s="54">
        <v>0</v>
      </c>
      <c r="T74" s="54">
        <v>177000</v>
      </c>
      <c r="U74" s="54">
        <v>41200</v>
      </c>
      <c r="V74" s="54">
        <v>0</v>
      </c>
      <c r="W74" s="54">
        <v>1960000</v>
      </c>
      <c r="X74" s="54">
        <v>52200</v>
      </c>
      <c r="Y74" s="55">
        <v>37300</v>
      </c>
      <c r="Z74" s="40">
        <f t="shared" si="8"/>
        <v>1.359457645933976</v>
      </c>
      <c r="AA74" s="40">
        <f t="shared" si="9"/>
        <v>0.86729296263382849</v>
      </c>
      <c r="AB74" s="40">
        <f t="shared" si="11"/>
        <v>0.86729296263382849</v>
      </c>
      <c r="AC74" s="621">
        <f t="shared" si="10"/>
        <v>24.553719142208749</v>
      </c>
      <c r="AD74" s="622">
        <f t="shared" si="12"/>
        <v>19.987956989203038</v>
      </c>
      <c r="AE74" s="167"/>
    </row>
    <row r="75" spans="1:31" x14ac:dyDescent="0.2">
      <c r="A75" s="36">
        <v>318</v>
      </c>
      <c r="B75" s="36" t="s">
        <v>230</v>
      </c>
      <c r="C75" s="36" t="s">
        <v>215</v>
      </c>
      <c r="D75" s="36">
        <v>104</v>
      </c>
      <c r="E75" s="36" t="s">
        <v>231</v>
      </c>
      <c r="F75" s="36">
        <v>5</v>
      </c>
      <c r="G75" s="36" t="s">
        <v>233</v>
      </c>
      <c r="H75" s="52">
        <v>120</v>
      </c>
      <c r="I75" s="53">
        <v>121</v>
      </c>
      <c r="J75" s="177">
        <v>984.55</v>
      </c>
      <c r="K75" s="177">
        <v>984.56</v>
      </c>
      <c r="L75" s="176">
        <v>984.55499999999995</v>
      </c>
      <c r="M75" s="175"/>
      <c r="N75" s="198"/>
      <c r="O75" s="198" t="s">
        <v>602</v>
      </c>
      <c r="P75" s="50"/>
      <c r="Q75" s="172">
        <v>109000</v>
      </c>
      <c r="R75" s="54">
        <v>0</v>
      </c>
      <c r="S75" s="54">
        <v>0</v>
      </c>
      <c r="T75" s="54">
        <v>256000</v>
      </c>
      <c r="U75" s="54">
        <v>63200</v>
      </c>
      <c r="V75" s="54">
        <v>11500</v>
      </c>
      <c r="W75" s="54">
        <v>2630000</v>
      </c>
      <c r="X75" s="54">
        <v>109000</v>
      </c>
      <c r="Y75" s="55">
        <v>60900</v>
      </c>
      <c r="Z75" s="40">
        <f t="shared" si="8"/>
        <v>1.2242631796398393</v>
      </c>
      <c r="AA75" s="40">
        <f t="shared" si="9"/>
        <v>0.8642733670823558</v>
      </c>
      <c r="AB75" s="40">
        <f t="shared" si="11"/>
        <v>0.8642733670823558</v>
      </c>
      <c r="AC75" s="621">
        <f t="shared" si="10"/>
        <v>25.666807624485294</v>
      </c>
      <c r="AD75" s="622">
        <f t="shared" si="12"/>
        <v>20.660902150995142</v>
      </c>
      <c r="AE75" s="167"/>
    </row>
    <row r="76" spans="1:31" x14ac:dyDescent="0.2">
      <c r="A76" s="36">
        <v>318</v>
      </c>
      <c r="B76" s="36" t="s">
        <v>230</v>
      </c>
      <c r="C76" s="36" t="s">
        <v>215</v>
      </c>
      <c r="D76" s="36">
        <v>104</v>
      </c>
      <c r="E76" s="36" t="s">
        <v>231</v>
      </c>
      <c r="F76" s="36">
        <v>6</v>
      </c>
      <c r="G76" s="36" t="s">
        <v>233</v>
      </c>
      <c r="H76" s="52">
        <v>15</v>
      </c>
      <c r="I76" s="53">
        <v>16</v>
      </c>
      <c r="J76" s="177">
        <v>984.86</v>
      </c>
      <c r="K76" s="177">
        <v>984.87</v>
      </c>
      <c r="L76" s="176">
        <v>984.86500000000001</v>
      </c>
      <c r="M76" s="175"/>
      <c r="N76" s="198"/>
      <c r="O76" s="198" t="s">
        <v>602</v>
      </c>
      <c r="P76" s="50"/>
      <c r="Q76" s="172">
        <v>17000</v>
      </c>
      <c r="R76" s="54">
        <v>0</v>
      </c>
      <c r="S76" s="54">
        <v>0</v>
      </c>
      <c r="T76" s="54">
        <v>64200</v>
      </c>
      <c r="U76" s="54">
        <v>15800</v>
      </c>
      <c r="V76" s="54">
        <v>0</v>
      </c>
      <c r="W76" s="54">
        <v>770000</v>
      </c>
      <c r="X76" s="54">
        <v>25500</v>
      </c>
      <c r="Y76" s="55">
        <v>14300</v>
      </c>
      <c r="Z76" s="40">
        <f t="shared" si="8"/>
        <v>1.3053201338534115</v>
      </c>
      <c r="AA76" s="40">
        <f t="shared" si="9"/>
        <v>0.89303043670048521</v>
      </c>
      <c r="AB76" s="40">
        <f t="shared" si="11"/>
        <v>0.89303043670048521</v>
      </c>
      <c r="AC76" s="621">
        <f t="shared" si="10"/>
        <v>26.346778583494864</v>
      </c>
      <c r="AD76" s="622">
        <f t="shared" si="12"/>
        <v>21.092778378766198</v>
      </c>
      <c r="AE76" s="167"/>
    </row>
    <row r="77" spans="1:31" x14ac:dyDescent="0.2">
      <c r="A77" s="36">
        <v>318</v>
      </c>
      <c r="B77" s="36" t="s">
        <v>230</v>
      </c>
      <c r="C77" s="36" t="s">
        <v>215</v>
      </c>
      <c r="D77" s="36">
        <v>104</v>
      </c>
      <c r="E77" s="36" t="s">
        <v>231</v>
      </c>
      <c r="F77" s="36">
        <v>6</v>
      </c>
      <c r="G77" s="36" t="s">
        <v>233</v>
      </c>
      <c r="H77" s="52">
        <v>45</v>
      </c>
      <c r="I77" s="53">
        <v>47</v>
      </c>
      <c r="J77" s="177">
        <v>985.16</v>
      </c>
      <c r="K77" s="177">
        <v>985.18</v>
      </c>
      <c r="L77" s="176">
        <v>985.17</v>
      </c>
      <c r="M77" s="175"/>
      <c r="N77" s="198"/>
      <c r="O77" s="198" t="s">
        <v>602</v>
      </c>
      <c r="P77" s="50"/>
      <c r="Q77" s="172">
        <v>49600</v>
      </c>
      <c r="R77" s="54">
        <v>0</v>
      </c>
      <c r="S77" s="54">
        <v>0</v>
      </c>
      <c r="T77" s="54">
        <v>132000</v>
      </c>
      <c r="U77" s="54">
        <v>35300</v>
      </c>
      <c r="V77" s="54">
        <v>14400</v>
      </c>
      <c r="W77" s="54">
        <v>1750000</v>
      </c>
      <c r="X77" s="54">
        <v>65300</v>
      </c>
      <c r="Y77" s="55">
        <v>34700</v>
      </c>
      <c r="Z77" s="40">
        <f t="shared" si="8"/>
        <v>1.2720216383713294</v>
      </c>
      <c r="AA77" s="40">
        <f t="shared" si="9"/>
        <v>0.8888675347138808</v>
      </c>
      <c r="AB77" s="40">
        <f t="shared" si="11"/>
        <v>0.8888675347138808</v>
      </c>
      <c r="AC77" s="621">
        <f t="shared" si="10"/>
        <v>26.44997441692211</v>
      </c>
      <c r="AD77" s="622">
        <f t="shared" si="12"/>
        <v>21.152530886564868</v>
      </c>
      <c r="AE77" s="167"/>
    </row>
    <row r="78" spans="1:31" x14ac:dyDescent="0.2">
      <c r="A78" s="36">
        <v>318</v>
      </c>
      <c r="B78" s="36" t="s">
        <v>230</v>
      </c>
      <c r="C78" s="36" t="s">
        <v>215</v>
      </c>
      <c r="D78" s="36">
        <v>105</v>
      </c>
      <c r="E78" s="36" t="s">
        <v>231</v>
      </c>
      <c r="F78" s="36">
        <v>1</v>
      </c>
      <c r="G78" s="36" t="s">
        <v>233</v>
      </c>
      <c r="H78" s="52">
        <v>0</v>
      </c>
      <c r="I78" s="53">
        <v>2</v>
      </c>
      <c r="J78" s="177">
        <v>987.2</v>
      </c>
      <c r="K78" s="177">
        <v>987.22</v>
      </c>
      <c r="L78" s="176">
        <v>987.21</v>
      </c>
      <c r="M78" s="175"/>
      <c r="N78" s="198"/>
      <c r="O78" s="198" t="s">
        <v>602</v>
      </c>
      <c r="P78" s="50"/>
      <c r="Q78" s="172">
        <v>116000</v>
      </c>
      <c r="R78" s="54">
        <v>16300</v>
      </c>
      <c r="S78" s="54">
        <v>11300</v>
      </c>
      <c r="T78" s="54">
        <v>198000</v>
      </c>
      <c r="U78" s="54">
        <v>48100</v>
      </c>
      <c r="V78" s="54">
        <v>15600</v>
      </c>
      <c r="W78" s="54">
        <v>2110000</v>
      </c>
      <c r="X78" s="54">
        <v>82300</v>
      </c>
      <c r="Y78" s="55">
        <v>45100</v>
      </c>
      <c r="Z78" s="40">
        <f t="shared" si="8"/>
        <v>1.2479582130877924</v>
      </c>
      <c r="AA78" s="40">
        <f t="shared" si="9"/>
        <v>0.84663412419116812</v>
      </c>
      <c r="AB78" s="40">
        <f t="shared" si="11"/>
        <v>0.85556957668922795</v>
      </c>
      <c r="AC78" s="621">
        <f t="shared" si="10"/>
        <v>24.56329691718755</v>
      </c>
      <c r="AD78" s="622">
        <f t="shared" si="12"/>
        <v>20.256733809158284</v>
      </c>
      <c r="AE78" s="167"/>
    </row>
    <row r="79" spans="1:31" x14ac:dyDescent="0.2">
      <c r="A79" s="36">
        <v>318</v>
      </c>
      <c r="B79" s="36" t="s">
        <v>230</v>
      </c>
      <c r="C79" s="36" t="s">
        <v>215</v>
      </c>
      <c r="D79" s="36">
        <v>105</v>
      </c>
      <c r="E79" s="36" t="s">
        <v>231</v>
      </c>
      <c r="F79" s="36">
        <v>1</v>
      </c>
      <c r="G79" s="36" t="s">
        <v>233</v>
      </c>
      <c r="H79" s="52">
        <v>30</v>
      </c>
      <c r="I79" s="53">
        <v>32</v>
      </c>
      <c r="J79" s="177">
        <v>987.5</v>
      </c>
      <c r="K79" s="177">
        <v>987.52</v>
      </c>
      <c r="L79" s="176">
        <v>987.51</v>
      </c>
      <c r="M79" s="175"/>
      <c r="N79" s="198"/>
      <c r="O79" s="198" t="s">
        <v>602</v>
      </c>
      <c r="P79" s="50"/>
      <c r="Q79" s="172">
        <v>18400</v>
      </c>
      <c r="R79" s="54">
        <v>0</v>
      </c>
      <c r="S79" s="54">
        <v>0</v>
      </c>
      <c r="T79" s="54">
        <v>28900</v>
      </c>
      <c r="U79" s="54">
        <v>11500</v>
      </c>
      <c r="V79" s="54">
        <v>0</v>
      </c>
      <c r="W79" s="54">
        <v>330000</v>
      </c>
      <c r="X79" s="54">
        <v>12600</v>
      </c>
      <c r="Y79" s="55">
        <v>0</v>
      </c>
      <c r="Z79" s="40">
        <f t="shared" si="8"/>
        <v>1.1729564157583714</v>
      </c>
      <c r="AA79" s="40">
        <f t="shared" si="9"/>
        <v>0.85351270553064273</v>
      </c>
      <c r="AB79" s="40">
        <f t="shared" si="11"/>
        <v>0.85351270553064273</v>
      </c>
      <c r="AC79" s="621">
        <f t="shared" si="10"/>
        <v>25.608492789191363</v>
      </c>
      <c r="AD79" s="622">
        <f t="shared" si="12"/>
        <v>20.61823099409996</v>
      </c>
      <c r="AE79" s="167"/>
    </row>
    <row r="80" spans="1:31" x14ac:dyDescent="0.2">
      <c r="A80" s="36">
        <v>318</v>
      </c>
      <c r="B80" s="36" t="s">
        <v>230</v>
      </c>
      <c r="C80" s="36" t="s">
        <v>215</v>
      </c>
      <c r="D80" s="36">
        <v>105</v>
      </c>
      <c r="E80" s="36" t="s">
        <v>231</v>
      </c>
      <c r="F80" s="36">
        <v>1</v>
      </c>
      <c r="G80" s="36" t="s">
        <v>233</v>
      </c>
      <c r="H80" s="52">
        <v>50</v>
      </c>
      <c r="I80" s="53">
        <v>52</v>
      </c>
      <c r="J80" s="177">
        <v>987.7</v>
      </c>
      <c r="K80" s="177">
        <v>987.72</v>
      </c>
      <c r="L80" s="176">
        <v>987.71</v>
      </c>
      <c r="M80" s="175"/>
      <c r="N80" s="198">
        <v>53.48</v>
      </c>
      <c r="O80" s="198" t="s">
        <v>602</v>
      </c>
      <c r="P80" s="50"/>
      <c r="Q80" s="172">
        <v>76400</v>
      </c>
      <c r="R80" s="54">
        <v>0</v>
      </c>
      <c r="S80" s="54">
        <v>0</v>
      </c>
      <c r="T80" s="54">
        <v>157000</v>
      </c>
      <c r="U80" s="54">
        <v>36800</v>
      </c>
      <c r="V80" s="54">
        <v>11600</v>
      </c>
      <c r="W80" s="54">
        <v>1570000</v>
      </c>
      <c r="X80" s="54">
        <v>68800</v>
      </c>
      <c r="Y80" s="55">
        <v>29900</v>
      </c>
      <c r="Z80" s="40">
        <f t="shared" si="8"/>
        <v>1.2136284193696654</v>
      </c>
      <c r="AA80" s="40">
        <f t="shared" si="9"/>
        <v>0.85552422455780575</v>
      </c>
      <c r="AB80" s="40">
        <f t="shared" si="11"/>
        <v>0.85552422455780575</v>
      </c>
      <c r="AC80" s="621">
        <f t="shared" si="10"/>
        <v>25.328785506783912</v>
      </c>
      <c r="AD80" s="622">
        <f t="shared" si="12"/>
        <v>20.449977823465979</v>
      </c>
      <c r="AE80" s="167"/>
    </row>
    <row r="81" spans="1:31" x14ac:dyDescent="0.2">
      <c r="A81" s="36">
        <v>318</v>
      </c>
      <c r="B81" s="36" t="s">
        <v>230</v>
      </c>
      <c r="C81" s="36" t="s">
        <v>215</v>
      </c>
      <c r="D81" s="36">
        <v>105</v>
      </c>
      <c r="E81" s="36" t="s">
        <v>231</v>
      </c>
      <c r="F81" s="36">
        <v>1</v>
      </c>
      <c r="G81" s="36" t="s">
        <v>233</v>
      </c>
      <c r="H81" s="52">
        <v>90</v>
      </c>
      <c r="I81" s="53">
        <v>92</v>
      </c>
      <c r="J81" s="177">
        <v>988.5</v>
      </c>
      <c r="K81" s="177">
        <v>988.52</v>
      </c>
      <c r="L81" s="176">
        <v>988.51</v>
      </c>
      <c r="M81" s="175"/>
      <c r="N81" s="175"/>
      <c r="O81" s="175"/>
      <c r="P81" s="50"/>
      <c r="Q81" s="172">
        <v>73900</v>
      </c>
      <c r="R81" s="54">
        <v>0</v>
      </c>
      <c r="S81" s="54">
        <v>0</v>
      </c>
      <c r="T81" s="54">
        <v>136000</v>
      </c>
      <c r="U81" s="54">
        <v>38200</v>
      </c>
      <c r="V81" s="54">
        <v>0</v>
      </c>
      <c r="W81" s="54">
        <v>1500000</v>
      </c>
      <c r="X81" s="54">
        <v>67200</v>
      </c>
      <c r="Y81" s="55">
        <v>35400</v>
      </c>
      <c r="Z81" s="40">
        <f t="shared" si="8"/>
        <v>1.1909426884587764</v>
      </c>
      <c r="AA81" s="40">
        <f t="shared" si="9"/>
        <v>0.86594261630734315</v>
      </c>
      <c r="AB81" s="40">
        <f t="shared" si="11"/>
        <v>0.86594261630734315</v>
      </c>
      <c r="AC81" s="38">
        <f t="shared" si="10"/>
        <v>26.061816678277598</v>
      </c>
      <c r="AD81" s="43">
        <f t="shared" si="12"/>
        <v>20.901576061966374</v>
      </c>
      <c r="AE81" s="167"/>
    </row>
    <row r="82" spans="1:31" x14ac:dyDescent="0.2">
      <c r="A82" s="36">
        <v>318</v>
      </c>
      <c r="B82" s="36" t="s">
        <v>230</v>
      </c>
      <c r="C82" s="36" t="s">
        <v>215</v>
      </c>
      <c r="D82" s="36">
        <v>105</v>
      </c>
      <c r="E82" s="36" t="s">
        <v>231</v>
      </c>
      <c r="F82" s="36">
        <v>1</v>
      </c>
      <c r="G82" s="36" t="s">
        <v>233</v>
      </c>
      <c r="H82" s="52">
        <v>120</v>
      </c>
      <c r="I82" s="53">
        <v>121</v>
      </c>
      <c r="J82" s="177">
        <v>988.4</v>
      </c>
      <c r="K82" s="177">
        <v>988.41</v>
      </c>
      <c r="L82" s="176">
        <v>988.40499999999997</v>
      </c>
      <c r="M82" s="175"/>
      <c r="N82" s="175"/>
      <c r="O82" s="175"/>
      <c r="P82" s="50"/>
      <c r="Q82" s="172">
        <v>133000</v>
      </c>
      <c r="R82" s="54">
        <v>0</v>
      </c>
      <c r="S82" s="54">
        <v>0</v>
      </c>
      <c r="T82" s="54">
        <v>223000</v>
      </c>
      <c r="U82" s="54">
        <v>53900</v>
      </c>
      <c r="V82" s="54">
        <v>0</v>
      </c>
      <c r="W82" s="54">
        <v>2040000</v>
      </c>
      <c r="X82" s="54">
        <v>88200</v>
      </c>
      <c r="Y82" s="55">
        <v>42700</v>
      </c>
      <c r="Z82" s="40">
        <f t="shared" si="8"/>
        <v>1.2020904760272588</v>
      </c>
      <c r="AA82" s="40">
        <f t="shared" si="9"/>
        <v>0.84117327960322386</v>
      </c>
      <c r="AB82" s="40">
        <f t="shared" si="11"/>
        <v>0.84117327960322386</v>
      </c>
      <c r="AC82" s="38">
        <f t="shared" si="10"/>
        <v>24.719118029306323</v>
      </c>
      <c r="AD82" s="43">
        <f t="shared" si="12"/>
        <v>20.070518668625382</v>
      </c>
      <c r="AE82" s="167"/>
    </row>
    <row r="83" spans="1:31" x14ac:dyDescent="0.2">
      <c r="A83" s="36">
        <v>318</v>
      </c>
      <c r="B83" s="36" t="s">
        <v>230</v>
      </c>
      <c r="C83" s="36" t="s">
        <v>215</v>
      </c>
      <c r="D83" s="36">
        <v>105</v>
      </c>
      <c r="E83" s="36" t="s">
        <v>231</v>
      </c>
      <c r="F83" s="36">
        <v>2</v>
      </c>
      <c r="G83" s="36" t="s">
        <v>233</v>
      </c>
      <c r="H83" s="52">
        <v>5</v>
      </c>
      <c r="I83" s="53">
        <v>7</v>
      </c>
      <c r="J83" s="177">
        <v>988.65</v>
      </c>
      <c r="K83" s="177">
        <v>988.67</v>
      </c>
      <c r="L83" s="176">
        <v>988.66</v>
      </c>
      <c r="M83" s="175"/>
      <c r="N83" s="175"/>
      <c r="O83" s="175"/>
      <c r="P83" s="50"/>
      <c r="Q83" s="172">
        <v>136000</v>
      </c>
      <c r="R83" s="54">
        <v>19300</v>
      </c>
      <c r="S83" s="54">
        <v>0</v>
      </c>
      <c r="T83" s="54">
        <v>288000</v>
      </c>
      <c r="U83" s="54">
        <v>68400</v>
      </c>
      <c r="V83" s="54">
        <v>23700</v>
      </c>
      <c r="W83" s="54">
        <v>3340000</v>
      </c>
      <c r="X83" s="54">
        <v>116000</v>
      </c>
      <c r="Y83" s="55">
        <v>62600</v>
      </c>
      <c r="Z83" s="40">
        <f t="shared" si="8"/>
        <v>1.2939063616704471</v>
      </c>
      <c r="AA83" s="40">
        <f t="shared" si="9"/>
        <v>0.86793290577207693</v>
      </c>
      <c r="AB83" s="40">
        <f t="shared" si="11"/>
        <v>0.87208466552655717</v>
      </c>
      <c r="AC83" s="38">
        <f t="shared" si="10"/>
        <v>25.198620806985168</v>
      </c>
      <c r="AD83" s="43">
        <f t="shared" si="12"/>
        <v>20.508175560651836</v>
      </c>
      <c r="AE83" s="167"/>
    </row>
    <row r="84" spans="1:31" x14ac:dyDescent="0.2">
      <c r="A84" s="36">
        <v>318</v>
      </c>
      <c r="B84" s="36" t="s">
        <v>230</v>
      </c>
      <c r="C84" s="36" t="s">
        <v>215</v>
      </c>
      <c r="D84" s="36">
        <v>105</v>
      </c>
      <c r="E84" s="36" t="s">
        <v>231</v>
      </c>
      <c r="F84" s="36">
        <v>2</v>
      </c>
      <c r="G84" s="36" t="s">
        <v>233</v>
      </c>
      <c r="H84" s="52">
        <v>35</v>
      </c>
      <c r="I84" s="53">
        <v>37</v>
      </c>
      <c r="J84" s="177">
        <v>988.95</v>
      </c>
      <c r="K84" s="177">
        <v>988.97</v>
      </c>
      <c r="L84" s="176">
        <v>988.96</v>
      </c>
      <c r="M84" s="175">
        <v>53.51</v>
      </c>
      <c r="N84" s="175">
        <v>53.54</v>
      </c>
      <c r="O84" s="175"/>
      <c r="P84" s="50"/>
      <c r="Q84" s="172">
        <v>216000</v>
      </c>
      <c r="R84" s="54">
        <v>0</v>
      </c>
      <c r="S84" s="54">
        <v>0</v>
      </c>
      <c r="T84" s="54">
        <v>375000</v>
      </c>
      <c r="U84" s="54">
        <v>120000</v>
      </c>
      <c r="V84" s="54">
        <v>35700</v>
      </c>
      <c r="W84" s="54">
        <v>3700000</v>
      </c>
      <c r="X84" s="54">
        <v>196000</v>
      </c>
      <c r="Y84" s="55">
        <v>100000</v>
      </c>
      <c r="Z84" s="40">
        <f t="shared" si="8"/>
        <v>1.1104405304575915</v>
      </c>
      <c r="AA84" s="40">
        <f t="shared" si="9"/>
        <v>0.84255803656145234</v>
      </c>
      <c r="AB84" s="40">
        <f t="shared" si="11"/>
        <v>0.84255803656145234</v>
      </c>
      <c r="AC84" s="38">
        <f t="shared" si="10"/>
        <v>25.645282868294139</v>
      </c>
      <c r="AD84" s="43">
        <f t="shared" si="12"/>
        <v>20.633101325710477</v>
      </c>
      <c r="AE84" s="167"/>
    </row>
    <row r="85" spans="1:31" x14ac:dyDescent="0.2">
      <c r="A85" s="36">
        <v>318</v>
      </c>
      <c r="B85" s="36" t="s">
        <v>230</v>
      </c>
      <c r="C85" s="36" t="s">
        <v>215</v>
      </c>
      <c r="D85" s="36">
        <v>105</v>
      </c>
      <c r="E85" s="36" t="s">
        <v>231</v>
      </c>
      <c r="F85" s="36">
        <v>2</v>
      </c>
      <c r="G85" s="36" t="s">
        <v>233</v>
      </c>
      <c r="H85" s="52">
        <v>65</v>
      </c>
      <c r="I85" s="53">
        <v>67</v>
      </c>
      <c r="J85" s="177">
        <v>989.25</v>
      </c>
      <c r="K85" s="177">
        <v>989.27</v>
      </c>
      <c r="L85" s="176">
        <v>989.26</v>
      </c>
      <c r="M85" s="175"/>
      <c r="N85" s="175"/>
      <c r="O85" s="175"/>
      <c r="P85" s="50"/>
      <c r="Q85" s="172">
        <v>107000</v>
      </c>
      <c r="R85" s="54">
        <v>0</v>
      </c>
      <c r="S85" s="54">
        <v>0</v>
      </c>
      <c r="T85" s="54">
        <v>187000</v>
      </c>
      <c r="U85" s="54">
        <v>47800</v>
      </c>
      <c r="V85" s="54">
        <v>0</v>
      </c>
      <c r="W85" s="54">
        <v>2570000</v>
      </c>
      <c r="X85" s="54">
        <v>91700</v>
      </c>
      <c r="Y85" s="55">
        <v>54400</v>
      </c>
      <c r="Z85" s="40">
        <f t="shared" ref="Z85:Z112" si="13">-LOG((X85+U85)/(W85+T85))</f>
        <v>1.2958625584961574</v>
      </c>
      <c r="AA85" s="40">
        <f t="shared" ref="AA85:AA112" si="14">SUM(W85:Y85)/SUM(Q85:Y85)</f>
        <v>0.88822394453710063</v>
      </c>
      <c r="AB85" s="40">
        <f t="shared" si="11"/>
        <v>0.88822394453710063</v>
      </c>
      <c r="AC85" s="38">
        <f t="shared" ref="AC85:AC112" si="15">50*(AA85-0.122-(0.187*Z85))</f>
        <v>26.194882304915961</v>
      </c>
      <c r="AD85" s="43">
        <f t="shared" si="12"/>
        <v>20.997401573976909</v>
      </c>
      <c r="AE85" s="167"/>
    </row>
    <row r="86" spans="1:31" x14ac:dyDescent="0.2">
      <c r="A86" s="36">
        <v>318</v>
      </c>
      <c r="B86" s="36" t="s">
        <v>230</v>
      </c>
      <c r="C86" s="36" t="s">
        <v>215</v>
      </c>
      <c r="D86" s="36">
        <v>105</v>
      </c>
      <c r="E86" s="36" t="s">
        <v>231</v>
      </c>
      <c r="F86" s="36">
        <v>2</v>
      </c>
      <c r="G86" s="36" t="s">
        <v>233</v>
      </c>
      <c r="H86" s="52">
        <v>95</v>
      </c>
      <c r="I86" s="53">
        <v>97</v>
      </c>
      <c r="J86" s="177">
        <v>989.55</v>
      </c>
      <c r="K86" s="177">
        <v>989.57</v>
      </c>
      <c r="L86" s="176">
        <v>989.56</v>
      </c>
      <c r="M86" s="175"/>
      <c r="N86" s="175"/>
      <c r="O86" s="175"/>
      <c r="P86" s="50"/>
      <c r="Q86" s="172">
        <v>89800</v>
      </c>
      <c r="R86" s="54">
        <v>0</v>
      </c>
      <c r="S86" s="54">
        <v>0</v>
      </c>
      <c r="T86" s="54">
        <v>177000</v>
      </c>
      <c r="U86" s="54">
        <v>45400</v>
      </c>
      <c r="V86" s="54">
        <v>0</v>
      </c>
      <c r="W86" s="54">
        <v>1450000</v>
      </c>
      <c r="X86" s="54">
        <v>84500</v>
      </c>
      <c r="Y86" s="55">
        <v>40600</v>
      </c>
      <c r="Z86" s="40">
        <f t="shared" si="13"/>
        <v>1.097778401863831</v>
      </c>
      <c r="AA86" s="40">
        <f t="shared" si="14"/>
        <v>0.83457849838393472</v>
      </c>
      <c r="AB86" s="40">
        <f t="shared" si="11"/>
        <v>0.83457849838393472</v>
      </c>
      <c r="AC86" s="38">
        <f t="shared" si="15"/>
        <v>25.364696861769914</v>
      </c>
      <c r="AD86" s="43">
        <f t="shared" si="12"/>
        <v>20.457529911334056</v>
      </c>
      <c r="AE86" s="167"/>
    </row>
    <row r="87" spans="1:31" x14ac:dyDescent="0.2">
      <c r="A87" s="36">
        <v>318</v>
      </c>
      <c r="B87" s="36" t="s">
        <v>230</v>
      </c>
      <c r="C87" s="36" t="s">
        <v>215</v>
      </c>
      <c r="D87" s="36">
        <v>105</v>
      </c>
      <c r="E87" s="36" t="s">
        <v>231</v>
      </c>
      <c r="F87" s="36">
        <v>2</v>
      </c>
      <c r="G87" s="36" t="s">
        <v>233</v>
      </c>
      <c r="H87" s="52">
        <v>125</v>
      </c>
      <c r="I87" s="53">
        <v>126</v>
      </c>
      <c r="J87" s="177">
        <v>989.85</v>
      </c>
      <c r="K87" s="177">
        <v>989.86</v>
      </c>
      <c r="L87" s="176">
        <v>989.85500000000002</v>
      </c>
      <c r="M87" s="175"/>
      <c r="N87" s="175"/>
      <c r="O87" s="175"/>
      <c r="P87" s="50"/>
      <c r="Q87" s="172">
        <v>26200</v>
      </c>
      <c r="R87" s="54">
        <v>0</v>
      </c>
      <c r="S87" s="54">
        <v>0</v>
      </c>
      <c r="T87" s="54">
        <v>47800</v>
      </c>
      <c r="U87" s="54">
        <v>0</v>
      </c>
      <c r="V87" s="54">
        <v>0</v>
      </c>
      <c r="W87" s="54">
        <v>626000</v>
      </c>
      <c r="X87" s="54">
        <v>21500</v>
      </c>
      <c r="Y87" s="55">
        <v>11800</v>
      </c>
      <c r="Z87" s="40">
        <f t="shared" si="13"/>
        <v>1.4960925467294961</v>
      </c>
      <c r="AA87" s="40">
        <f t="shared" si="14"/>
        <v>0.89908632210555028</v>
      </c>
      <c r="AB87" s="40">
        <f t="shared" si="11"/>
        <v>0.89908632210555028</v>
      </c>
      <c r="AC87" s="38">
        <f t="shared" si="15"/>
        <v>24.865850793356724</v>
      </c>
      <c r="AD87" s="43">
        <f t="shared" si="12"/>
        <v>20.198831245315816</v>
      </c>
      <c r="AE87" s="167"/>
    </row>
    <row r="88" spans="1:31" x14ac:dyDescent="0.2">
      <c r="A88" s="36">
        <v>318</v>
      </c>
      <c r="B88" s="36" t="s">
        <v>230</v>
      </c>
      <c r="C88" s="36" t="s">
        <v>215</v>
      </c>
      <c r="D88" s="36">
        <v>105</v>
      </c>
      <c r="E88" s="36" t="s">
        <v>231</v>
      </c>
      <c r="F88" s="36">
        <v>3</v>
      </c>
      <c r="G88" s="36" t="s">
        <v>233</v>
      </c>
      <c r="H88" s="52">
        <v>5</v>
      </c>
      <c r="I88" s="53">
        <v>7</v>
      </c>
      <c r="J88" s="177">
        <v>990.16</v>
      </c>
      <c r="K88" s="177">
        <v>990.18</v>
      </c>
      <c r="L88" s="176">
        <v>990.17</v>
      </c>
      <c r="M88" s="175"/>
      <c r="N88" s="175"/>
      <c r="O88" s="175"/>
      <c r="P88" s="50"/>
      <c r="Q88" s="172">
        <v>40900</v>
      </c>
      <c r="R88" s="54">
        <v>0</v>
      </c>
      <c r="S88" s="54">
        <v>0</v>
      </c>
      <c r="T88" s="54">
        <v>103000</v>
      </c>
      <c r="U88" s="54">
        <v>28000</v>
      </c>
      <c r="V88" s="54">
        <v>0</v>
      </c>
      <c r="W88" s="54">
        <v>1130000</v>
      </c>
      <c r="X88" s="54">
        <v>54100</v>
      </c>
      <c r="Y88" s="55">
        <v>30400</v>
      </c>
      <c r="Z88" s="40">
        <f t="shared" si="13"/>
        <v>1.176619919476291</v>
      </c>
      <c r="AA88" s="40">
        <f t="shared" si="14"/>
        <v>0.87600980957876518</v>
      </c>
      <c r="AB88" s="40">
        <f t="shared" si="11"/>
        <v>0.87600980957876518</v>
      </c>
      <c r="AC88" s="38">
        <f t="shared" si="15"/>
        <v>26.699094231834941</v>
      </c>
      <c r="AD88" s="43">
        <f t="shared" si="12"/>
        <v>21.294869153511151</v>
      </c>
      <c r="AE88" s="167"/>
    </row>
    <row r="89" spans="1:31" x14ac:dyDescent="0.2">
      <c r="A89" s="36">
        <v>318</v>
      </c>
      <c r="B89" s="36" t="s">
        <v>230</v>
      </c>
      <c r="C89" s="36" t="s">
        <v>215</v>
      </c>
      <c r="D89" s="36">
        <v>105</v>
      </c>
      <c r="E89" s="36" t="s">
        <v>231</v>
      </c>
      <c r="F89" s="36">
        <v>3</v>
      </c>
      <c r="G89" s="36" t="s">
        <v>233</v>
      </c>
      <c r="H89" s="52">
        <v>35</v>
      </c>
      <c r="I89" s="53">
        <v>37</v>
      </c>
      <c r="J89" s="177">
        <v>990.46</v>
      </c>
      <c r="K89" s="177">
        <v>990.48</v>
      </c>
      <c r="L89" s="176">
        <v>990.47</v>
      </c>
      <c r="M89" s="175"/>
      <c r="N89" s="175"/>
      <c r="O89" s="175"/>
      <c r="P89" s="50"/>
      <c r="Q89" s="172">
        <v>51400</v>
      </c>
      <c r="R89" s="54">
        <v>0</v>
      </c>
      <c r="S89" s="54">
        <v>0</v>
      </c>
      <c r="T89" s="54">
        <v>107000</v>
      </c>
      <c r="U89" s="54">
        <v>27500</v>
      </c>
      <c r="V89" s="54">
        <v>0</v>
      </c>
      <c r="W89" s="54">
        <v>1550000</v>
      </c>
      <c r="X89" s="54">
        <v>49900</v>
      </c>
      <c r="Y89" s="55">
        <v>30700</v>
      </c>
      <c r="Z89" s="40">
        <f t="shared" si="13"/>
        <v>1.3305815477364442</v>
      </c>
      <c r="AA89" s="40">
        <f t="shared" si="14"/>
        <v>0.89766033581062488</v>
      </c>
      <c r="AB89" s="40">
        <f t="shared" si="11"/>
        <v>0.89766033581062488</v>
      </c>
      <c r="AC89" s="38">
        <f t="shared" si="15"/>
        <v>26.342079319195488</v>
      </c>
      <c r="AD89" s="43">
        <f t="shared" si="12"/>
        <v>21.093073034463735</v>
      </c>
      <c r="AE89" s="167"/>
    </row>
    <row r="90" spans="1:31" x14ac:dyDescent="0.2">
      <c r="A90" s="36">
        <v>318</v>
      </c>
      <c r="B90" s="36" t="s">
        <v>230</v>
      </c>
      <c r="C90" s="36" t="s">
        <v>215</v>
      </c>
      <c r="D90" s="36">
        <v>105</v>
      </c>
      <c r="E90" s="36" t="s">
        <v>231</v>
      </c>
      <c r="F90" s="36">
        <v>3</v>
      </c>
      <c r="G90" s="36" t="s">
        <v>233</v>
      </c>
      <c r="H90" s="52">
        <v>65</v>
      </c>
      <c r="I90" s="53">
        <v>67</v>
      </c>
      <c r="J90" s="177">
        <v>990.76</v>
      </c>
      <c r="K90" s="177">
        <v>990.78</v>
      </c>
      <c r="L90" s="176">
        <v>990.77</v>
      </c>
      <c r="M90" s="175"/>
      <c r="N90" s="175"/>
      <c r="O90" s="175"/>
      <c r="P90" s="50"/>
      <c r="Q90" s="172">
        <v>143000</v>
      </c>
      <c r="R90" s="54">
        <v>0</v>
      </c>
      <c r="S90" s="54">
        <v>0</v>
      </c>
      <c r="T90" s="54">
        <v>343000</v>
      </c>
      <c r="U90" s="54">
        <v>73900</v>
      </c>
      <c r="V90" s="54">
        <v>19600</v>
      </c>
      <c r="W90" s="54">
        <v>3470000</v>
      </c>
      <c r="X90" s="54">
        <v>161000</v>
      </c>
      <c r="Y90" s="55">
        <v>79800</v>
      </c>
      <c r="Z90" s="40">
        <f t="shared" si="13"/>
        <v>1.2103837884960646</v>
      </c>
      <c r="AA90" s="40">
        <f t="shared" si="14"/>
        <v>0.8649278605225742</v>
      </c>
      <c r="AB90" s="40">
        <f t="shared" si="11"/>
        <v>0.8649278605225742</v>
      </c>
      <c r="AC90" s="38">
        <f t="shared" si="15"/>
        <v>25.829304603690506</v>
      </c>
      <c r="AD90" s="43">
        <f t="shared" si="12"/>
        <v>20.759887595427116</v>
      </c>
      <c r="AE90" s="167"/>
    </row>
    <row r="91" spans="1:31" x14ac:dyDescent="0.2">
      <c r="A91" s="36">
        <v>318</v>
      </c>
      <c r="B91" s="36" t="s">
        <v>230</v>
      </c>
      <c r="C91" s="36" t="s">
        <v>215</v>
      </c>
      <c r="D91" s="36">
        <v>105</v>
      </c>
      <c r="E91" s="36" t="s">
        <v>231</v>
      </c>
      <c r="F91" s="36">
        <v>3</v>
      </c>
      <c r="G91" s="36" t="s">
        <v>233</v>
      </c>
      <c r="H91" s="52">
        <v>95</v>
      </c>
      <c r="I91" s="53">
        <v>97</v>
      </c>
      <c r="J91" s="177">
        <v>991.06</v>
      </c>
      <c r="K91" s="177">
        <v>991.08</v>
      </c>
      <c r="L91" s="176">
        <v>991.07</v>
      </c>
      <c r="M91" s="175"/>
      <c r="N91" s="175"/>
      <c r="O91" s="175"/>
      <c r="P91" s="50"/>
      <c r="Q91" s="172">
        <v>49300</v>
      </c>
      <c r="R91" s="54">
        <v>0</v>
      </c>
      <c r="S91" s="54">
        <v>0</v>
      </c>
      <c r="T91" s="54">
        <v>111000</v>
      </c>
      <c r="U91" s="54">
        <v>20000</v>
      </c>
      <c r="V91" s="54">
        <v>10400</v>
      </c>
      <c r="W91" s="54">
        <v>1670000</v>
      </c>
      <c r="X91" s="54">
        <v>50800</v>
      </c>
      <c r="Y91" s="55">
        <v>29900</v>
      </c>
      <c r="Z91" s="40">
        <f t="shared" si="13"/>
        <v>1.4006306617734745</v>
      </c>
      <c r="AA91" s="40">
        <f t="shared" si="14"/>
        <v>0.90177191717317395</v>
      </c>
      <c r="AB91" s="40">
        <f t="shared" si="11"/>
        <v>0.90177191717317395</v>
      </c>
      <c r="AC91" s="38">
        <f t="shared" si="15"/>
        <v>25.89269917107671</v>
      </c>
      <c r="AD91" s="43">
        <f t="shared" si="12"/>
        <v>20.823353580112791</v>
      </c>
      <c r="AE91" s="167"/>
    </row>
    <row r="92" spans="1:31" x14ac:dyDescent="0.2">
      <c r="A92" s="47">
        <v>318</v>
      </c>
      <c r="B92" s="47" t="s">
        <v>230</v>
      </c>
      <c r="C92" s="47" t="s">
        <v>215</v>
      </c>
      <c r="D92" s="47">
        <v>105</v>
      </c>
      <c r="E92" s="47" t="s">
        <v>231</v>
      </c>
      <c r="F92" s="47">
        <v>3</v>
      </c>
      <c r="G92" s="47" t="s">
        <v>233</v>
      </c>
      <c r="H92" s="56">
        <v>125</v>
      </c>
      <c r="I92" s="57">
        <v>127</v>
      </c>
      <c r="J92" s="177">
        <v>991.36</v>
      </c>
      <c r="K92" s="177">
        <v>991.38</v>
      </c>
      <c r="L92" s="176">
        <v>991.37</v>
      </c>
      <c r="M92" s="175"/>
      <c r="N92" s="175"/>
      <c r="O92" s="175"/>
      <c r="P92" s="50"/>
      <c r="Q92" s="172">
        <v>27800</v>
      </c>
      <c r="R92" s="54">
        <v>0</v>
      </c>
      <c r="S92" s="54">
        <v>0</v>
      </c>
      <c r="T92" s="54">
        <v>53000</v>
      </c>
      <c r="U92" s="54">
        <v>11200</v>
      </c>
      <c r="V92" s="54">
        <v>0</v>
      </c>
      <c r="W92" s="54">
        <v>641000</v>
      </c>
      <c r="X92" s="54">
        <v>24100</v>
      </c>
      <c r="Y92" s="55">
        <v>13000</v>
      </c>
      <c r="Z92" s="40">
        <f t="shared" si="13"/>
        <v>1.2935847650670325</v>
      </c>
      <c r="AA92" s="40">
        <f t="shared" si="14"/>
        <v>0.88053499545513569</v>
      </c>
      <c r="AB92" s="40">
        <f t="shared" si="11"/>
        <v>0.88053499545513569</v>
      </c>
      <c r="AC92" s="38">
        <f t="shared" si="15"/>
        <v>25.831732219380033</v>
      </c>
      <c r="AD92" s="43">
        <f t="shared" si="12"/>
        <v>20.771959241179133</v>
      </c>
      <c r="AE92" s="167"/>
    </row>
    <row r="93" spans="1:31" x14ac:dyDescent="0.2">
      <c r="A93" s="47">
        <v>318</v>
      </c>
      <c r="B93" s="47" t="s">
        <v>230</v>
      </c>
      <c r="C93" s="47" t="s">
        <v>215</v>
      </c>
      <c r="D93" s="47">
        <v>105</v>
      </c>
      <c r="E93" s="47" t="s">
        <v>231</v>
      </c>
      <c r="F93" s="47">
        <v>4</v>
      </c>
      <c r="G93" s="47" t="s">
        <v>233</v>
      </c>
      <c r="H93" s="56">
        <v>15</v>
      </c>
      <c r="I93" s="57">
        <v>17</v>
      </c>
      <c r="J93" s="47">
        <v>991.64</v>
      </c>
      <c r="K93" s="177">
        <v>991.66</v>
      </c>
      <c r="L93" s="176">
        <v>991.65</v>
      </c>
      <c r="M93" s="175"/>
      <c r="N93" s="175"/>
      <c r="O93" s="175"/>
      <c r="P93" s="50"/>
      <c r="Q93" s="172">
        <v>30400</v>
      </c>
      <c r="R93" s="54">
        <v>0</v>
      </c>
      <c r="S93" s="54">
        <v>0</v>
      </c>
      <c r="T93" s="54">
        <v>69300</v>
      </c>
      <c r="U93" s="54">
        <v>14100</v>
      </c>
      <c r="V93" s="54">
        <v>0</v>
      </c>
      <c r="W93" s="54">
        <v>688000</v>
      </c>
      <c r="X93" s="54">
        <v>27700</v>
      </c>
      <c r="Y93" s="55">
        <v>14400</v>
      </c>
      <c r="Z93" s="40">
        <f t="shared" si="13"/>
        <v>1.2580916750495776</v>
      </c>
      <c r="AA93" s="40">
        <f t="shared" si="14"/>
        <v>0.86514989927716557</v>
      </c>
      <c r="AB93" s="40">
        <f t="shared" si="11"/>
        <v>0.86514989927716557</v>
      </c>
      <c r="AC93" s="38">
        <f t="shared" si="15"/>
        <v>25.394337802144729</v>
      </c>
      <c r="AD93" s="43">
        <f t="shared" si="12"/>
        <v>20.496267080061024</v>
      </c>
      <c r="AE93" s="167"/>
    </row>
    <row r="94" spans="1:31" x14ac:dyDescent="0.2">
      <c r="A94" s="36">
        <v>318</v>
      </c>
      <c r="B94" s="36" t="s">
        <v>230</v>
      </c>
      <c r="C94" s="36" t="s">
        <v>215</v>
      </c>
      <c r="D94" s="36">
        <v>105</v>
      </c>
      <c r="E94" s="36" t="s">
        <v>231</v>
      </c>
      <c r="F94" s="36">
        <v>4</v>
      </c>
      <c r="G94" s="36" t="s">
        <v>233</v>
      </c>
      <c r="H94" s="52">
        <v>45</v>
      </c>
      <c r="I94" s="53">
        <v>47</v>
      </c>
      <c r="J94" s="177">
        <v>991.94</v>
      </c>
      <c r="K94" s="177">
        <v>991.96</v>
      </c>
      <c r="L94" s="176">
        <v>991.95</v>
      </c>
      <c r="M94" s="175"/>
      <c r="N94" s="175"/>
      <c r="O94" s="175"/>
      <c r="P94" s="50"/>
      <c r="Q94" s="172">
        <v>134000</v>
      </c>
      <c r="R94" s="54">
        <v>0</v>
      </c>
      <c r="S94" s="54">
        <v>0</v>
      </c>
      <c r="T94" s="54">
        <v>227000</v>
      </c>
      <c r="U94" s="54">
        <v>42800</v>
      </c>
      <c r="V94" s="54">
        <v>14800</v>
      </c>
      <c r="W94" s="54">
        <v>2260000</v>
      </c>
      <c r="X94" s="54">
        <v>109000</v>
      </c>
      <c r="Y94" s="55">
        <v>61200</v>
      </c>
      <c r="Z94" s="40">
        <f t="shared" si="13"/>
        <v>1.2144040137104746</v>
      </c>
      <c r="AA94" s="40">
        <f t="shared" si="14"/>
        <v>0.85306093793878124</v>
      </c>
      <c r="AB94" s="40">
        <f t="shared" si="11"/>
        <v>0.85306093793878124</v>
      </c>
      <c r="AC94" s="38">
        <f t="shared" si="15"/>
        <v>25.198369368746125</v>
      </c>
      <c r="AD94" s="43">
        <f t="shared" si="12"/>
        <v>20.369218318363828</v>
      </c>
      <c r="AE94" s="167"/>
    </row>
    <row r="95" spans="1:31" x14ac:dyDescent="0.2">
      <c r="A95" s="47">
        <v>318</v>
      </c>
      <c r="B95" s="47" t="s">
        <v>230</v>
      </c>
      <c r="C95" s="47" t="s">
        <v>215</v>
      </c>
      <c r="D95" s="47">
        <v>105</v>
      </c>
      <c r="E95" s="47" t="s">
        <v>231</v>
      </c>
      <c r="F95" s="47">
        <v>4</v>
      </c>
      <c r="G95" s="47" t="s">
        <v>233</v>
      </c>
      <c r="H95" s="56">
        <v>75</v>
      </c>
      <c r="I95" s="57">
        <v>77</v>
      </c>
      <c r="J95" s="47">
        <v>992.24</v>
      </c>
      <c r="K95" s="177">
        <v>992.26</v>
      </c>
      <c r="L95" s="176">
        <v>992.25</v>
      </c>
      <c r="M95" s="175"/>
      <c r="N95" s="175"/>
      <c r="O95" s="175"/>
      <c r="P95" s="50"/>
      <c r="Q95" s="172">
        <v>10300</v>
      </c>
      <c r="R95" s="54">
        <v>0</v>
      </c>
      <c r="S95" s="54">
        <v>0</v>
      </c>
      <c r="T95" s="54">
        <v>22800</v>
      </c>
      <c r="U95" s="54">
        <v>0</v>
      </c>
      <c r="V95" s="54">
        <v>0</v>
      </c>
      <c r="W95" s="54">
        <v>289000</v>
      </c>
      <c r="X95" s="54">
        <v>10400</v>
      </c>
      <c r="Y95" s="55">
        <v>0</v>
      </c>
      <c r="Z95" s="40">
        <f t="shared" si="13"/>
        <v>1.4768427715540426</v>
      </c>
      <c r="AA95" s="40">
        <f t="shared" si="14"/>
        <v>0.90045112781954884</v>
      </c>
      <c r="AB95" s="40">
        <f t="shared" si="11"/>
        <v>0.90045112781954884</v>
      </c>
      <c r="AC95" s="38">
        <f t="shared" si="15"/>
        <v>25.114076476947144</v>
      </c>
      <c r="AD95" s="43">
        <f t="shared" si="12"/>
        <v>20.350286447694593</v>
      </c>
      <c r="AE95" s="167"/>
    </row>
    <row r="96" spans="1:31" x14ac:dyDescent="0.2">
      <c r="A96" s="36">
        <v>318</v>
      </c>
      <c r="B96" s="36" t="s">
        <v>230</v>
      </c>
      <c r="C96" s="36" t="s">
        <v>215</v>
      </c>
      <c r="D96" s="36">
        <v>105</v>
      </c>
      <c r="E96" s="36" t="s">
        <v>231</v>
      </c>
      <c r="F96" s="36">
        <v>4</v>
      </c>
      <c r="G96" s="36" t="s">
        <v>233</v>
      </c>
      <c r="H96" s="52">
        <v>105</v>
      </c>
      <c r="I96" s="53">
        <v>107</v>
      </c>
      <c r="J96" s="177">
        <v>992.54</v>
      </c>
      <c r="K96" s="177">
        <v>992.56</v>
      </c>
      <c r="L96" s="176">
        <v>992.55</v>
      </c>
      <c r="M96" s="175"/>
      <c r="N96" s="175"/>
      <c r="O96" s="175"/>
      <c r="P96" s="50"/>
      <c r="Q96" s="172">
        <v>22700</v>
      </c>
      <c r="R96" s="54">
        <v>0</v>
      </c>
      <c r="S96" s="54">
        <v>0</v>
      </c>
      <c r="T96" s="54">
        <v>41900</v>
      </c>
      <c r="U96" s="54">
        <v>12800</v>
      </c>
      <c r="V96" s="54">
        <v>0</v>
      </c>
      <c r="W96" s="54">
        <v>409000</v>
      </c>
      <c r="X96" s="54">
        <v>16900</v>
      </c>
      <c r="Y96" s="55">
        <v>11900</v>
      </c>
      <c r="Z96" s="40">
        <f t="shared" si="13"/>
        <v>1.1813237859893582</v>
      </c>
      <c r="AA96" s="40">
        <f t="shared" si="14"/>
        <v>0.84976708074534157</v>
      </c>
      <c r="AB96" s="40">
        <f t="shared" si="11"/>
        <v>0.84976708074534157</v>
      </c>
      <c r="AC96" s="38">
        <f t="shared" si="15"/>
        <v>25.342976638266578</v>
      </c>
      <c r="AD96" s="43">
        <f t="shared" si="12"/>
        <v>20.454673636545927</v>
      </c>
      <c r="AE96" s="167"/>
    </row>
    <row r="97" spans="1:31" x14ac:dyDescent="0.2">
      <c r="A97" s="36">
        <v>318</v>
      </c>
      <c r="B97" s="36" t="s">
        <v>230</v>
      </c>
      <c r="C97" s="36" t="s">
        <v>215</v>
      </c>
      <c r="D97" s="36">
        <v>105</v>
      </c>
      <c r="E97" s="36" t="s">
        <v>231</v>
      </c>
      <c r="F97" s="36">
        <v>4</v>
      </c>
      <c r="G97" s="36" t="s">
        <v>233</v>
      </c>
      <c r="H97" s="52">
        <v>135</v>
      </c>
      <c r="I97" s="53">
        <v>137</v>
      </c>
      <c r="J97" s="177">
        <v>992.84</v>
      </c>
      <c r="K97" s="177">
        <v>992.86</v>
      </c>
      <c r="L97" s="176">
        <v>992.85</v>
      </c>
      <c r="M97" s="175"/>
      <c r="N97" s="175"/>
      <c r="O97" s="175"/>
      <c r="P97" s="50"/>
      <c r="Q97" s="172">
        <v>54400</v>
      </c>
      <c r="R97" s="54">
        <v>0</v>
      </c>
      <c r="S97" s="54">
        <v>0</v>
      </c>
      <c r="T97" s="54">
        <v>138000</v>
      </c>
      <c r="U97" s="54">
        <v>27800</v>
      </c>
      <c r="V97" s="54">
        <v>0</v>
      </c>
      <c r="W97" s="54">
        <v>674000</v>
      </c>
      <c r="X97" s="54">
        <v>46200</v>
      </c>
      <c r="Y97" s="55">
        <v>21700</v>
      </c>
      <c r="Z97" s="40">
        <f t="shared" si="13"/>
        <v>1.0403243095101991</v>
      </c>
      <c r="AA97" s="40">
        <f t="shared" si="14"/>
        <v>0.77112566261303395</v>
      </c>
      <c r="AB97" s="40">
        <f t="shared" si="11"/>
        <v>0.77112566261303395</v>
      </c>
      <c r="AC97" s="38">
        <f t="shared" si="15"/>
        <v>22.729250836731335</v>
      </c>
      <c r="AD97" s="43">
        <f t="shared" si="12"/>
        <v>18.816256706081223</v>
      </c>
      <c r="AE97" s="167"/>
    </row>
    <row r="98" spans="1:31" x14ac:dyDescent="0.2">
      <c r="A98" s="47">
        <v>318</v>
      </c>
      <c r="B98" s="47" t="s">
        <v>230</v>
      </c>
      <c r="C98" s="47" t="s">
        <v>215</v>
      </c>
      <c r="D98" s="47">
        <v>105</v>
      </c>
      <c r="E98" s="47" t="s">
        <v>231</v>
      </c>
      <c r="F98" s="47">
        <v>5</v>
      </c>
      <c r="G98" s="47" t="s">
        <v>233</v>
      </c>
      <c r="H98" s="56">
        <v>15</v>
      </c>
      <c r="I98" s="57">
        <v>18</v>
      </c>
      <c r="J98" s="47">
        <v>993.13</v>
      </c>
      <c r="K98" s="177">
        <v>993.16</v>
      </c>
      <c r="L98" s="176">
        <v>993.15</v>
      </c>
      <c r="M98" s="175"/>
      <c r="N98" s="175"/>
      <c r="O98" s="175"/>
      <c r="P98" s="50"/>
      <c r="Q98" s="172">
        <v>86900</v>
      </c>
      <c r="R98" s="54">
        <v>0</v>
      </c>
      <c r="S98" s="54">
        <v>0</v>
      </c>
      <c r="T98" s="54">
        <v>196000</v>
      </c>
      <c r="U98" s="54">
        <v>40600</v>
      </c>
      <c r="V98" s="54">
        <v>11200</v>
      </c>
      <c r="W98" s="54">
        <v>1540000</v>
      </c>
      <c r="X98" s="54">
        <v>85800</v>
      </c>
      <c r="Y98" s="55">
        <v>43500</v>
      </c>
      <c r="Z98" s="40">
        <f t="shared" si="13"/>
        <v>1.1378026468941069</v>
      </c>
      <c r="AA98" s="40">
        <f t="shared" si="14"/>
        <v>0.83298403193612769</v>
      </c>
      <c r="AB98" s="40">
        <f t="shared" si="11"/>
        <v>0.83298403193612769</v>
      </c>
      <c r="AC98" s="38">
        <f t="shared" si="15"/>
        <v>24.910746848346484</v>
      </c>
      <c r="AD98" s="43">
        <f t="shared" si="12"/>
        <v>20.181163982130371</v>
      </c>
      <c r="AE98" s="167"/>
    </row>
    <row r="99" spans="1:31" x14ac:dyDescent="0.2">
      <c r="A99" s="47">
        <v>318</v>
      </c>
      <c r="B99" s="47" t="s">
        <v>230</v>
      </c>
      <c r="C99" s="47" t="s">
        <v>215</v>
      </c>
      <c r="D99" s="47">
        <v>105</v>
      </c>
      <c r="E99" s="47" t="s">
        <v>231</v>
      </c>
      <c r="F99" s="47">
        <v>5</v>
      </c>
      <c r="G99" s="47" t="s">
        <v>233</v>
      </c>
      <c r="H99" s="56">
        <v>75</v>
      </c>
      <c r="I99" s="57">
        <v>78</v>
      </c>
      <c r="J99" s="47">
        <v>993.73</v>
      </c>
      <c r="K99" s="177">
        <v>993.76</v>
      </c>
      <c r="L99" s="176">
        <v>993.75</v>
      </c>
      <c r="M99" s="175"/>
      <c r="N99" s="175"/>
      <c r="O99" s="175"/>
      <c r="P99" s="50"/>
      <c r="Q99" s="172">
        <v>63400</v>
      </c>
      <c r="R99" s="54">
        <v>0</v>
      </c>
      <c r="S99" s="54">
        <v>0</v>
      </c>
      <c r="T99" s="54">
        <v>135000</v>
      </c>
      <c r="U99" s="54">
        <v>28400</v>
      </c>
      <c r="V99" s="54">
        <v>0</v>
      </c>
      <c r="W99" s="54">
        <v>1160000</v>
      </c>
      <c r="X99" s="54">
        <v>57200</v>
      </c>
      <c r="Y99" s="55">
        <v>29900</v>
      </c>
      <c r="Z99" s="40">
        <f t="shared" si="13"/>
        <v>1.1797960037401174</v>
      </c>
      <c r="AA99" s="40">
        <f t="shared" si="14"/>
        <v>0.84612253205780585</v>
      </c>
      <c r="AB99" s="40">
        <f t="shared" si="11"/>
        <v>0.84612253205780585</v>
      </c>
      <c r="AC99" s="38">
        <f t="shared" si="15"/>
        <v>25.175033967920196</v>
      </c>
      <c r="AD99" s="43">
        <f t="shared" si="12"/>
        <v>20.350355152585514</v>
      </c>
      <c r="AE99" s="167"/>
    </row>
    <row r="100" spans="1:31" x14ac:dyDescent="0.2">
      <c r="A100" s="36">
        <v>318</v>
      </c>
      <c r="B100" s="36" t="s">
        <v>230</v>
      </c>
      <c r="C100" s="36" t="s">
        <v>215</v>
      </c>
      <c r="D100" s="36">
        <v>105</v>
      </c>
      <c r="E100" s="36" t="s">
        <v>231</v>
      </c>
      <c r="F100" s="36">
        <v>6</v>
      </c>
      <c r="G100" s="36" t="s">
        <v>233</v>
      </c>
      <c r="H100" s="52">
        <v>0</v>
      </c>
      <c r="I100" s="53">
        <v>2</v>
      </c>
      <c r="J100" s="47">
        <v>994</v>
      </c>
      <c r="K100" s="47">
        <v>994.02</v>
      </c>
      <c r="L100" s="176">
        <v>994.01</v>
      </c>
      <c r="M100" s="175"/>
      <c r="N100" s="175"/>
      <c r="O100" s="175"/>
      <c r="P100" s="50"/>
      <c r="Q100" s="172">
        <v>284000</v>
      </c>
      <c r="R100" s="54">
        <v>0</v>
      </c>
      <c r="S100" s="54">
        <v>0</v>
      </c>
      <c r="T100" s="54">
        <v>628000</v>
      </c>
      <c r="U100" s="54">
        <v>122000</v>
      </c>
      <c r="V100" s="54">
        <v>29500</v>
      </c>
      <c r="W100" s="54">
        <v>4860000</v>
      </c>
      <c r="X100" s="54">
        <v>251000</v>
      </c>
      <c r="Y100" s="55">
        <v>110000</v>
      </c>
      <c r="Z100" s="40">
        <f t="shared" si="13"/>
        <v>1.1677052708900078</v>
      </c>
      <c r="AA100" s="40">
        <f t="shared" si="14"/>
        <v>0.83077412681995388</v>
      </c>
      <c r="AB100" s="40">
        <f t="shared" si="11"/>
        <v>0.83077412681995388</v>
      </c>
      <c r="AC100" s="38">
        <f t="shared" si="15"/>
        <v>24.520662058176125</v>
      </c>
      <c r="AD100" s="43">
        <f t="shared" si="12"/>
        <v>19.943109045472227</v>
      </c>
      <c r="AE100" s="167"/>
    </row>
    <row r="101" spans="1:31" x14ac:dyDescent="0.2">
      <c r="A101" s="47">
        <v>318</v>
      </c>
      <c r="B101" s="47" t="s">
        <v>230</v>
      </c>
      <c r="C101" s="47" t="s">
        <v>215</v>
      </c>
      <c r="D101" s="47">
        <v>105</v>
      </c>
      <c r="E101" s="47" t="s">
        <v>231</v>
      </c>
      <c r="F101" s="47">
        <v>6</v>
      </c>
      <c r="G101" s="47" t="s">
        <v>233</v>
      </c>
      <c r="H101" s="56">
        <v>30</v>
      </c>
      <c r="I101" s="57">
        <v>33</v>
      </c>
      <c r="J101" s="47">
        <v>994.3</v>
      </c>
      <c r="K101" s="177">
        <v>994.33</v>
      </c>
      <c r="L101" s="176">
        <v>994.32</v>
      </c>
      <c r="M101" s="175"/>
      <c r="N101" s="175"/>
      <c r="O101" s="175"/>
      <c r="P101" s="50"/>
      <c r="Q101" s="172">
        <v>106000</v>
      </c>
      <c r="R101" s="54">
        <v>0</v>
      </c>
      <c r="S101" s="54">
        <v>0</v>
      </c>
      <c r="T101" s="54">
        <v>242000</v>
      </c>
      <c r="U101" s="54">
        <v>40200</v>
      </c>
      <c r="V101" s="54">
        <v>10000</v>
      </c>
      <c r="W101" s="54">
        <v>1750000</v>
      </c>
      <c r="X101" s="54">
        <v>79700</v>
      </c>
      <c r="Y101" s="55">
        <v>37900</v>
      </c>
      <c r="Z101" s="40">
        <f t="shared" si="13"/>
        <v>1.2204701509888312</v>
      </c>
      <c r="AA101" s="40">
        <f t="shared" si="14"/>
        <v>0.82425633330391035</v>
      </c>
      <c r="AB101" s="40">
        <f t="shared" si="11"/>
        <v>0.82425633330391035</v>
      </c>
      <c r="AC101" s="38">
        <f t="shared" si="15"/>
        <v>23.701420753449948</v>
      </c>
      <c r="AD101" s="43">
        <f t="shared" si="12"/>
        <v>19.441880576314546</v>
      </c>
      <c r="AE101" s="167"/>
    </row>
    <row r="102" spans="1:31" x14ac:dyDescent="0.2">
      <c r="A102" s="47">
        <v>318</v>
      </c>
      <c r="B102" s="47" t="s">
        <v>230</v>
      </c>
      <c r="C102" s="47" t="s">
        <v>215</v>
      </c>
      <c r="D102" s="47">
        <v>105</v>
      </c>
      <c r="E102" s="47" t="s">
        <v>231</v>
      </c>
      <c r="F102" s="47">
        <v>6</v>
      </c>
      <c r="G102" s="47" t="s">
        <v>233</v>
      </c>
      <c r="H102" s="56">
        <v>60</v>
      </c>
      <c r="I102" s="57">
        <v>63</v>
      </c>
      <c r="J102" s="47">
        <v>994.6</v>
      </c>
      <c r="K102" s="177">
        <v>994.63</v>
      </c>
      <c r="L102" s="176">
        <v>994.62</v>
      </c>
      <c r="M102" s="175"/>
      <c r="N102" s="175"/>
      <c r="O102" s="175"/>
      <c r="P102" s="50"/>
      <c r="Q102" s="172">
        <v>11400</v>
      </c>
      <c r="R102" s="54">
        <v>0</v>
      </c>
      <c r="S102" s="54">
        <v>0</v>
      </c>
      <c r="T102" s="54">
        <v>22400</v>
      </c>
      <c r="U102" s="54">
        <v>0</v>
      </c>
      <c r="V102" s="54">
        <v>0</v>
      </c>
      <c r="W102" s="54">
        <v>221000</v>
      </c>
      <c r="X102" s="54">
        <v>10800</v>
      </c>
      <c r="Y102" s="55">
        <v>0</v>
      </c>
      <c r="Z102" s="40">
        <f t="shared" si="13"/>
        <v>1.3528968184070964</v>
      </c>
      <c r="AA102" s="40">
        <f t="shared" si="14"/>
        <v>0.87274096385542166</v>
      </c>
      <c r="AB102" s="40">
        <f t="shared" si="11"/>
        <v>0.87274096385542166</v>
      </c>
      <c r="AC102" s="38">
        <f t="shared" si="15"/>
        <v>24.887462940664733</v>
      </c>
      <c r="AD102" s="43">
        <f t="shared" si="12"/>
        <v>20.194044919149835</v>
      </c>
      <c r="AE102" s="167"/>
    </row>
    <row r="103" spans="1:31" x14ac:dyDescent="0.2">
      <c r="A103" s="47">
        <v>318</v>
      </c>
      <c r="B103" s="47" t="s">
        <v>230</v>
      </c>
      <c r="C103" s="47" t="s">
        <v>215</v>
      </c>
      <c r="D103" s="47">
        <v>105</v>
      </c>
      <c r="E103" s="47" t="s">
        <v>231</v>
      </c>
      <c r="F103" s="47">
        <v>6</v>
      </c>
      <c r="G103" s="47" t="s">
        <v>233</v>
      </c>
      <c r="H103" s="56">
        <v>90</v>
      </c>
      <c r="I103" s="57">
        <v>93</v>
      </c>
      <c r="J103" s="47">
        <v>994.9</v>
      </c>
      <c r="K103" s="177">
        <v>994.93</v>
      </c>
      <c r="L103" s="176">
        <v>994.92</v>
      </c>
      <c r="M103" s="175"/>
      <c r="N103" s="175"/>
      <c r="O103" s="175"/>
      <c r="P103" s="50"/>
      <c r="Q103" s="172">
        <v>25700</v>
      </c>
      <c r="R103" s="54">
        <v>0</v>
      </c>
      <c r="S103" s="54">
        <v>0</v>
      </c>
      <c r="T103" s="54">
        <v>58000</v>
      </c>
      <c r="U103" s="54">
        <v>12700</v>
      </c>
      <c r="V103" s="54">
        <v>0</v>
      </c>
      <c r="W103" s="54">
        <v>634000</v>
      </c>
      <c r="X103" s="54">
        <v>26600</v>
      </c>
      <c r="Y103" s="55">
        <v>14900</v>
      </c>
      <c r="Z103" s="40">
        <f t="shared" si="13"/>
        <v>1.2457135440813312</v>
      </c>
      <c r="AA103" s="40">
        <f t="shared" si="14"/>
        <v>0.87511335665241607</v>
      </c>
      <c r="AB103" s="40">
        <f t="shared" si="11"/>
        <v>0.87511335665241607</v>
      </c>
      <c r="AC103" s="38">
        <f t="shared" si="15"/>
        <v>26.008246195460359</v>
      </c>
      <c r="AD103" s="43">
        <f t="shared" si="12"/>
        <v>20.875318261283752</v>
      </c>
      <c r="AE103" s="167"/>
    </row>
    <row r="104" spans="1:31" x14ac:dyDescent="0.2">
      <c r="A104" s="47">
        <v>318</v>
      </c>
      <c r="B104" s="47" t="s">
        <v>230</v>
      </c>
      <c r="C104" s="47" t="s">
        <v>215</v>
      </c>
      <c r="D104" s="47">
        <v>106</v>
      </c>
      <c r="E104" s="47" t="s">
        <v>231</v>
      </c>
      <c r="F104" s="47">
        <v>1</v>
      </c>
      <c r="G104" s="47" t="s">
        <v>233</v>
      </c>
      <c r="H104" s="56">
        <v>15</v>
      </c>
      <c r="I104" s="57">
        <v>18</v>
      </c>
      <c r="J104" s="47">
        <v>996.95</v>
      </c>
      <c r="K104" s="177">
        <v>996.98</v>
      </c>
      <c r="L104" s="176">
        <v>996.97</v>
      </c>
      <c r="M104" s="175"/>
      <c r="N104" s="175"/>
      <c r="O104" s="175"/>
      <c r="P104" s="50"/>
      <c r="Q104" s="172">
        <v>207000</v>
      </c>
      <c r="R104" s="54">
        <v>0</v>
      </c>
      <c r="S104" s="54">
        <v>0</v>
      </c>
      <c r="T104" s="54">
        <v>614000</v>
      </c>
      <c r="U104" s="54">
        <v>103000</v>
      </c>
      <c r="V104" s="54">
        <v>26500</v>
      </c>
      <c r="W104" s="54">
        <v>2410000</v>
      </c>
      <c r="X104" s="54">
        <v>197000</v>
      </c>
      <c r="Y104" s="55">
        <v>79000</v>
      </c>
      <c r="Z104" s="40">
        <f t="shared" si="13"/>
        <v>1.0034605321095065</v>
      </c>
      <c r="AA104" s="40">
        <f t="shared" si="14"/>
        <v>0.73862230166368759</v>
      </c>
      <c r="AB104" s="40">
        <f t="shared" si="11"/>
        <v>0.73862230166368759</v>
      </c>
      <c r="AC104" s="38">
        <f t="shared" si="15"/>
        <v>21.448759107960495</v>
      </c>
      <c r="AD104" s="43">
        <f t="shared" si="12"/>
        <v>18.017670134513413</v>
      </c>
      <c r="AE104" s="167"/>
    </row>
    <row r="105" spans="1:31" x14ac:dyDescent="0.2">
      <c r="A105" s="47">
        <v>318</v>
      </c>
      <c r="B105" s="47" t="s">
        <v>230</v>
      </c>
      <c r="C105" s="47" t="s">
        <v>215</v>
      </c>
      <c r="D105" s="47">
        <v>106</v>
      </c>
      <c r="E105" s="47" t="s">
        <v>231</v>
      </c>
      <c r="F105" s="47">
        <v>1</v>
      </c>
      <c r="G105" s="47" t="s">
        <v>233</v>
      </c>
      <c r="H105" s="56">
        <v>45</v>
      </c>
      <c r="I105" s="57">
        <v>48</v>
      </c>
      <c r="J105" s="47">
        <v>997.25</v>
      </c>
      <c r="K105" s="177">
        <v>997.28</v>
      </c>
      <c r="L105" s="176">
        <v>997.27</v>
      </c>
      <c r="M105" s="175"/>
      <c r="N105" s="175"/>
      <c r="O105" s="175"/>
      <c r="P105" s="50"/>
      <c r="Q105" s="172">
        <v>14600</v>
      </c>
      <c r="R105" s="54">
        <v>0</v>
      </c>
      <c r="S105" s="54">
        <v>0</v>
      </c>
      <c r="T105" s="54">
        <v>38300</v>
      </c>
      <c r="U105" s="54">
        <v>0</v>
      </c>
      <c r="V105" s="54">
        <v>0</v>
      </c>
      <c r="W105" s="54">
        <v>384000</v>
      </c>
      <c r="X105" s="54">
        <v>17400</v>
      </c>
      <c r="Y105" s="55">
        <v>10500</v>
      </c>
      <c r="Z105" s="40">
        <f t="shared" si="13"/>
        <v>1.385071833142308</v>
      </c>
      <c r="AA105" s="40">
        <f t="shared" si="14"/>
        <v>0.88618760757314974</v>
      </c>
      <c r="AB105" s="40">
        <f t="shared" si="11"/>
        <v>0.88618760757314974</v>
      </c>
      <c r="AC105" s="38">
        <f t="shared" si="15"/>
        <v>25.258958738776904</v>
      </c>
      <c r="AD105" s="43">
        <f t="shared" si="12"/>
        <v>20.428458540850755</v>
      </c>
      <c r="AE105" s="167"/>
    </row>
    <row r="106" spans="1:31" x14ac:dyDescent="0.2">
      <c r="A106" s="47">
        <v>318</v>
      </c>
      <c r="B106" s="47" t="s">
        <v>230</v>
      </c>
      <c r="C106" s="47" t="s">
        <v>215</v>
      </c>
      <c r="D106" s="47">
        <v>106</v>
      </c>
      <c r="E106" s="47" t="s">
        <v>231</v>
      </c>
      <c r="F106" s="47">
        <v>1</v>
      </c>
      <c r="G106" s="47" t="s">
        <v>233</v>
      </c>
      <c r="H106" s="56">
        <v>75</v>
      </c>
      <c r="I106" s="57">
        <v>78</v>
      </c>
      <c r="J106" s="47">
        <v>997.55</v>
      </c>
      <c r="K106" s="177">
        <v>997.58</v>
      </c>
      <c r="L106" s="176">
        <v>997.57</v>
      </c>
      <c r="M106" s="175"/>
      <c r="N106" s="175"/>
      <c r="O106" s="175"/>
      <c r="P106" s="50"/>
      <c r="Q106" s="172">
        <v>10600</v>
      </c>
      <c r="R106" s="54">
        <v>0</v>
      </c>
      <c r="S106" s="54">
        <v>0</v>
      </c>
      <c r="T106" s="54">
        <v>28700</v>
      </c>
      <c r="U106" s="54">
        <v>0</v>
      </c>
      <c r="V106" s="54">
        <v>0</v>
      </c>
      <c r="W106" s="54">
        <v>320000</v>
      </c>
      <c r="X106" s="54">
        <v>13600</v>
      </c>
      <c r="Y106" s="55">
        <v>0</v>
      </c>
      <c r="Z106" s="40">
        <f t="shared" si="13"/>
        <v>1.4089130390057589</v>
      </c>
      <c r="AA106" s="40">
        <f t="shared" si="14"/>
        <v>0.89460981496379721</v>
      </c>
      <c r="AB106" s="40">
        <f t="shared" si="11"/>
        <v>0.89460981496379721</v>
      </c>
      <c r="AC106" s="38">
        <f t="shared" si="15"/>
        <v>25.457153833486011</v>
      </c>
      <c r="AD106" s="43">
        <f t="shared" si="12"/>
        <v>20.55436733271506</v>
      </c>
      <c r="AE106" s="167"/>
    </row>
    <row r="107" spans="1:31" x14ac:dyDescent="0.2">
      <c r="A107" s="47">
        <v>318</v>
      </c>
      <c r="B107" s="47" t="s">
        <v>230</v>
      </c>
      <c r="C107" s="47" t="s">
        <v>215</v>
      </c>
      <c r="D107" s="47">
        <v>106</v>
      </c>
      <c r="E107" s="47" t="s">
        <v>231</v>
      </c>
      <c r="F107" s="47">
        <v>1</v>
      </c>
      <c r="G107" s="47" t="s">
        <v>233</v>
      </c>
      <c r="H107" s="56">
        <v>105</v>
      </c>
      <c r="I107" s="57">
        <v>108</v>
      </c>
      <c r="J107" s="47">
        <v>997.85</v>
      </c>
      <c r="K107" s="177">
        <v>997.88</v>
      </c>
      <c r="L107" s="176">
        <v>997.87</v>
      </c>
      <c r="M107" s="175">
        <v>53.99</v>
      </c>
      <c r="N107" s="175">
        <v>53.94</v>
      </c>
      <c r="O107" s="175"/>
      <c r="P107" s="50"/>
      <c r="Q107" s="172">
        <v>22000</v>
      </c>
      <c r="R107" s="54">
        <v>0</v>
      </c>
      <c r="S107" s="54">
        <v>0</v>
      </c>
      <c r="T107" s="54">
        <v>38600</v>
      </c>
      <c r="U107" s="54">
        <v>0</v>
      </c>
      <c r="V107" s="54">
        <v>0</v>
      </c>
      <c r="W107" s="54">
        <v>555000</v>
      </c>
      <c r="X107" s="54">
        <v>16700</v>
      </c>
      <c r="Y107" s="55">
        <v>10000</v>
      </c>
      <c r="Z107" s="40">
        <f t="shared" si="13"/>
        <v>1.5507774211233873</v>
      </c>
      <c r="AA107" s="40">
        <f t="shared" si="14"/>
        <v>0.90565156468939745</v>
      </c>
      <c r="AB107" s="40">
        <f t="shared" ref="AB107:AB112" si="16">(W107+X107+Y107)/(W107+X107+Y107+T107+U107+V107+Q107)</f>
        <v>0.90565156468939745</v>
      </c>
      <c r="AC107" s="38">
        <f t="shared" si="15"/>
        <v>24.682809346966199</v>
      </c>
      <c r="AD107" s="43">
        <f t="shared" ref="AD107:AD112" si="17">(0.81-5.67*Z107)+(31*AB107)</f>
        <v>20.092290527601719</v>
      </c>
      <c r="AE107" s="167"/>
    </row>
    <row r="108" spans="1:31" x14ac:dyDescent="0.2">
      <c r="A108" s="47">
        <v>318</v>
      </c>
      <c r="B108" s="47" t="s">
        <v>230</v>
      </c>
      <c r="C108" s="47" t="s">
        <v>215</v>
      </c>
      <c r="D108" s="47">
        <v>106</v>
      </c>
      <c r="E108" s="47" t="s">
        <v>231</v>
      </c>
      <c r="F108" s="47">
        <v>2</v>
      </c>
      <c r="G108" s="47" t="s">
        <v>233</v>
      </c>
      <c r="H108" s="56">
        <v>25</v>
      </c>
      <c r="I108" s="57">
        <v>28</v>
      </c>
      <c r="J108" s="47">
        <v>998.41</v>
      </c>
      <c r="K108" s="177">
        <v>998.44</v>
      </c>
      <c r="L108" s="176">
        <v>998.43</v>
      </c>
      <c r="M108" s="175"/>
      <c r="N108" s="175"/>
      <c r="O108" s="175"/>
      <c r="P108" s="50"/>
      <c r="Q108" s="172">
        <v>20700</v>
      </c>
      <c r="R108" s="54">
        <v>0</v>
      </c>
      <c r="S108" s="54">
        <v>0</v>
      </c>
      <c r="T108" s="54">
        <v>35500</v>
      </c>
      <c r="U108" s="54">
        <v>10700</v>
      </c>
      <c r="V108" s="54">
        <v>0</v>
      </c>
      <c r="W108" s="54">
        <v>347000</v>
      </c>
      <c r="X108" s="54">
        <v>13600</v>
      </c>
      <c r="Y108" s="55">
        <v>0</v>
      </c>
      <c r="Z108" s="40">
        <f t="shared" si="13"/>
        <v>1.1970251658913242</v>
      </c>
      <c r="AA108" s="40">
        <f t="shared" si="14"/>
        <v>0.84350877192982454</v>
      </c>
      <c r="AB108" s="40">
        <f t="shared" si="16"/>
        <v>0.84350877192982454</v>
      </c>
      <c r="AC108" s="38">
        <f t="shared" si="15"/>
        <v>24.883253295407346</v>
      </c>
      <c r="AD108" s="43">
        <f t="shared" si="17"/>
        <v>20.171639239220752</v>
      </c>
      <c r="AE108" s="167"/>
    </row>
    <row r="109" spans="1:31" x14ac:dyDescent="0.2">
      <c r="A109" s="47">
        <v>318</v>
      </c>
      <c r="B109" s="47" t="s">
        <v>230</v>
      </c>
      <c r="C109" s="47" t="s">
        <v>215</v>
      </c>
      <c r="D109" s="47">
        <v>106</v>
      </c>
      <c r="E109" s="47" t="s">
        <v>231</v>
      </c>
      <c r="F109" s="47">
        <v>2</v>
      </c>
      <c r="G109" s="47" t="s">
        <v>233</v>
      </c>
      <c r="H109" s="56">
        <v>55</v>
      </c>
      <c r="I109" s="57">
        <v>58</v>
      </c>
      <c r="J109" s="47">
        <v>998.71</v>
      </c>
      <c r="K109" s="177">
        <v>998.74</v>
      </c>
      <c r="L109" s="176">
        <v>998.73</v>
      </c>
      <c r="M109" s="175"/>
      <c r="N109" s="175"/>
      <c r="O109" s="175"/>
      <c r="P109" s="50"/>
      <c r="Q109" s="172">
        <v>17900</v>
      </c>
      <c r="R109" s="54">
        <v>0</v>
      </c>
      <c r="S109" s="54">
        <v>0</v>
      </c>
      <c r="T109" s="54">
        <v>38800</v>
      </c>
      <c r="U109" s="54">
        <v>10100</v>
      </c>
      <c r="V109" s="54">
        <v>0</v>
      </c>
      <c r="W109" s="54">
        <v>380000</v>
      </c>
      <c r="X109" s="54">
        <v>13200</v>
      </c>
      <c r="Y109" s="55">
        <v>0</v>
      </c>
      <c r="Z109" s="40">
        <f t="shared" si="13"/>
        <v>1.2546507519807857</v>
      </c>
      <c r="AA109" s="40">
        <f t="shared" si="14"/>
        <v>0.85478260869565215</v>
      </c>
      <c r="AB109" s="40">
        <f t="shared" si="16"/>
        <v>0.85478260869565215</v>
      </c>
      <c r="AC109" s="38">
        <f t="shared" si="15"/>
        <v>24.908145903762264</v>
      </c>
      <c r="AD109" s="43">
        <f t="shared" si="17"/>
        <v>20.194391105834164</v>
      </c>
      <c r="AE109" s="167"/>
    </row>
    <row r="110" spans="1:31" x14ac:dyDescent="0.2">
      <c r="A110" s="47">
        <v>318</v>
      </c>
      <c r="B110" s="47" t="s">
        <v>230</v>
      </c>
      <c r="C110" s="47" t="s">
        <v>215</v>
      </c>
      <c r="D110" s="47">
        <v>106</v>
      </c>
      <c r="E110" s="47" t="s">
        <v>231</v>
      </c>
      <c r="F110" s="47">
        <v>2</v>
      </c>
      <c r="G110" s="47" t="s">
        <v>233</v>
      </c>
      <c r="H110" s="56">
        <v>85</v>
      </c>
      <c r="I110" s="57">
        <v>88</v>
      </c>
      <c r="J110" s="47">
        <v>999.01</v>
      </c>
      <c r="K110" s="177">
        <v>999.04</v>
      </c>
      <c r="L110" s="176">
        <v>999.03</v>
      </c>
      <c r="M110" s="175"/>
      <c r="N110" s="175"/>
      <c r="O110" s="175"/>
      <c r="P110" s="50"/>
      <c r="Q110" s="172">
        <v>34500</v>
      </c>
      <c r="R110" s="54">
        <v>0</v>
      </c>
      <c r="S110" s="54">
        <v>0</v>
      </c>
      <c r="T110" s="54">
        <v>68400</v>
      </c>
      <c r="U110" s="54">
        <v>15400</v>
      </c>
      <c r="V110" s="54">
        <v>0</v>
      </c>
      <c r="W110" s="54">
        <v>775000</v>
      </c>
      <c r="X110" s="54">
        <v>30800</v>
      </c>
      <c r="Y110" s="55">
        <v>19100</v>
      </c>
      <c r="Z110" s="40">
        <f t="shared" si="13"/>
        <v>1.2613916211227192</v>
      </c>
      <c r="AA110" s="40">
        <f t="shared" si="14"/>
        <v>0.87457591178965222</v>
      </c>
      <c r="AB110" s="40">
        <f t="shared" si="16"/>
        <v>0.87457591178965222</v>
      </c>
      <c r="AC110" s="38">
        <f t="shared" si="15"/>
        <v>25.834783931985182</v>
      </c>
      <c r="AD110" s="43">
        <f t="shared" si="17"/>
        <v>20.769762773713403</v>
      </c>
      <c r="AE110" s="167"/>
    </row>
    <row r="111" spans="1:31" x14ac:dyDescent="0.2">
      <c r="A111" s="47">
        <v>318</v>
      </c>
      <c r="B111" s="47" t="s">
        <v>230</v>
      </c>
      <c r="C111" s="47" t="s">
        <v>215</v>
      </c>
      <c r="D111" s="47">
        <v>106</v>
      </c>
      <c r="E111" s="47" t="s">
        <v>231</v>
      </c>
      <c r="F111" s="47">
        <v>3</v>
      </c>
      <c r="G111" s="47" t="s">
        <v>233</v>
      </c>
      <c r="H111" s="56">
        <v>0</v>
      </c>
      <c r="I111" s="57">
        <v>3</v>
      </c>
      <c r="J111" s="47">
        <v>999.29</v>
      </c>
      <c r="K111" s="177">
        <v>999.32</v>
      </c>
      <c r="L111" s="176">
        <v>999.31</v>
      </c>
      <c r="M111" s="175"/>
      <c r="N111" s="175"/>
      <c r="O111" s="175"/>
      <c r="P111" s="50"/>
      <c r="Q111" s="172">
        <v>21200</v>
      </c>
      <c r="R111" s="54">
        <v>0</v>
      </c>
      <c r="S111" s="54">
        <v>0</v>
      </c>
      <c r="T111" s="54">
        <v>53900</v>
      </c>
      <c r="U111" s="54">
        <v>10800</v>
      </c>
      <c r="V111" s="54">
        <v>0</v>
      </c>
      <c r="W111" s="54">
        <v>479000</v>
      </c>
      <c r="X111" s="54">
        <v>19500</v>
      </c>
      <c r="Y111" s="55">
        <v>10700</v>
      </c>
      <c r="Z111" s="40">
        <f t="shared" si="13"/>
        <v>1.2452030917386068</v>
      </c>
      <c r="AA111" s="40">
        <f t="shared" si="14"/>
        <v>0.85565451184674846</v>
      </c>
      <c r="AB111" s="40">
        <f t="shared" si="16"/>
        <v>0.85565451184674846</v>
      </c>
      <c r="AC111" s="38">
        <f t="shared" si="15"/>
        <v>25.040076684581447</v>
      </c>
      <c r="AD111" s="43">
        <f t="shared" si="17"/>
        <v>20.274988337091301</v>
      </c>
      <c r="AE111" s="167"/>
    </row>
    <row r="112" spans="1:31" x14ac:dyDescent="0.2">
      <c r="A112" s="47">
        <v>318</v>
      </c>
      <c r="B112" s="47" t="s">
        <v>230</v>
      </c>
      <c r="C112" s="47" t="s">
        <v>215</v>
      </c>
      <c r="D112" s="47">
        <v>106</v>
      </c>
      <c r="E112" s="47" t="s">
        <v>231</v>
      </c>
      <c r="F112" s="47">
        <v>3</v>
      </c>
      <c r="G112" s="47" t="s">
        <v>233</v>
      </c>
      <c r="H112" s="56">
        <v>30</v>
      </c>
      <c r="I112" s="57">
        <v>34</v>
      </c>
      <c r="J112" s="47">
        <v>999.59</v>
      </c>
      <c r="K112" s="177">
        <v>999.62</v>
      </c>
      <c r="L112" s="176">
        <v>999.61</v>
      </c>
      <c r="M112" s="175">
        <v>54.21</v>
      </c>
      <c r="N112" s="175">
        <v>54.02</v>
      </c>
      <c r="O112" s="175"/>
      <c r="P112" s="50"/>
      <c r="Q112" s="172">
        <v>15500</v>
      </c>
      <c r="R112" s="54">
        <v>0</v>
      </c>
      <c r="S112" s="54">
        <v>0</v>
      </c>
      <c r="T112" s="54">
        <v>33300</v>
      </c>
      <c r="U112" s="54">
        <v>0</v>
      </c>
      <c r="V112" s="54">
        <v>0</v>
      </c>
      <c r="W112" s="54">
        <v>331000</v>
      </c>
      <c r="X112" s="54">
        <v>12700</v>
      </c>
      <c r="Y112" s="55">
        <v>0</v>
      </c>
      <c r="Z112" s="40">
        <f t="shared" si="13"/>
        <v>1.4576554502859591</v>
      </c>
      <c r="AA112" s="40">
        <f t="shared" si="14"/>
        <v>0.87566878980891716</v>
      </c>
      <c r="AB112" s="40">
        <f t="shared" si="16"/>
        <v>0.87566878980891716</v>
      </c>
      <c r="AC112" s="38">
        <f t="shared" si="15"/>
        <v>24.05436103027214</v>
      </c>
      <c r="AD112" s="43">
        <f t="shared" si="17"/>
        <v>19.690826080955045</v>
      </c>
      <c r="AE112" s="167"/>
    </row>
    <row r="113" spans="13:29" ht="16" thickBot="1" x14ac:dyDescent="0.25">
      <c r="M113" s="175"/>
    </row>
    <row r="114" spans="13:29" x14ac:dyDescent="0.2">
      <c r="W114" s="305" t="s">
        <v>675</v>
      </c>
      <c r="X114" s="270" t="s">
        <v>666</v>
      </c>
      <c r="Y114" s="271" t="s">
        <v>667</v>
      </c>
      <c r="Z114" s="270" t="s">
        <v>672</v>
      </c>
      <c r="AA114" s="270" t="s">
        <v>189</v>
      </c>
      <c r="AB114" s="270" t="s">
        <v>673</v>
      </c>
      <c r="AC114" s="272" t="s">
        <v>668</v>
      </c>
    </row>
    <row r="115" spans="13:29" x14ac:dyDescent="0.2">
      <c r="W115" s="273" t="s">
        <v>602</v>
      </c>
      <c r="X115" s="274">
        <f>COUNT(AD19:AD80)</f>
        <v>62</v>
      </c>
      <c r="Y115" s="284">
        <f>MIN(AD19:AD80)</f>
        <v>16.030861228513949</v>
      </c>
      <c r="Z115" s="299">
        <f>AA115-(_xlfn.STDEV.P(AD19:AD80))</f>
        <v>18.653405246592676</v>
      </c>
      <c r="AA115" s="284">
        <f>AVERAGE(AD19:AD80)</f>
        <v>20.114707153286744</v>
      </c>
      <c r="AB115" s="284">
        <f>AA115+(_xlfn.STDEV.P(AD19:AD80))</f>
        <v>21.576009059980812</v>
      </c>
      <c r="AC115" s="285">
        <f>MAX(AD19:AD80)</f>
        <v>21.480269949438977</v>
      </c>
    </row>
    <row r="116" spans="13:29" x14ac:dyDescent="0.2">
      <c r="W116" s="273" t="s">
        <v>43</v>
      </c>
      <c r="X116" s="274"/>
      <c r="Y116" s="284"/>
      <c r="Z116" s="284"/>
      <c r="AA116" s="284"/>
      <c r="AB116" s="284"/>
      <c r="AC116" s="285"/>
    </row>
    <row r="117" spans="13:29" x14ac:dyDescent="0.2">
      <c r="W117" s="273" t="s">
        <v>186</v>
      </c>
      <c r="X117" s="274"/>
      <c r="Y117" s="284"/>
      <c r="Z117" s="284"/>
      <c r="AA117" s="284"/>
      <c r="AB117" s="284"/>
      <c r="AC117" s="285"/>
    </row>
    <row r="118" spans="13:29" x14ac:dyDescent="0.2">
      <c r="W118" s="273"/>
      <c r="X118" s="277"/>
      <c r="Y118" s="284"/>
      <c r="Z118" s="284"/>
      <c r="AA118" s="286"/>
      <c r="AB118" s="284"/>
      <c r="AC118" s="287"/>
    </row>
    <row r="119" spans="13:29" x14ac:dyDescent="0.2">
      <c r="W119" s="273"/>
      <c r="X119" s="277"/>
      <c r="Y119" s="275"/>
      <c r="Z119" s="279"/>
      <c r="AA119" s="279"/>
      <c r="AB119" s="279"/>
      <c r="AC119" s="278"/>
    </row>
    <row r="120" spans="13:29" x14ac:dyDescent="0.2">
      <c r="W120" s="273" t="s">
        <v>602</v>
      </c>
      <c r="X120" s="274">
        <f t="shared" ref="X120" si="18">X115</f>
        <v>62</v>
      </c>
      <c r="Y120" s="275" t="str">
        <f>FIXED(Y115,2)</f>
        <v>16.03</v>
      </c>
      <c r="Z120" s="275" t="str">
        <f t="shared" ref="Z120:AC120" si="19">FIXED(Z115,2)</f>
        <v>18.65</v>
      </c>
      <c r="AA120" s="275" t="str">
        <f t="shared" si="19"/>
        <v>20.11</v>
      </c>
      <c r="AB120" s="275" t="str">
        <f t="shared" si="19"/>
        <v>21.58</v>
      </c>
      <c r="AC120" s="276" t="str">
        <f t="shared" si="19"/>
        <v>21.48</v>
      </c>
    </row>
    <row r="121" spans="13:29" x14ac:dyDescent="0.2">
      <c r="W121" s="273" t="s">
        <v>43</v>
      </c>
      <c r="X121" s="274"/>
      <c r="Y121" s="275"/>
      <c r="Z121" s="275"/>
      <c r="AA121" s="275"/>
      <c r="AB121" s="275"/>
      <c r="AC121" s="276"/>
    </row>
    <row r="122" spans="13:29" ht="16" thickBot="1" x14ac:dyDescent="0.25">
      <c r="W122" s="280" t="s">
        <v>186</v>
      </c>
      <c r="X122" s="281"/>
      <c r="Y122" s="282"/>
      <c r="Z122" s="282"/>
      <c r="AA122" s="282"/>
      <c r="AB122" s="282"/>
      <c r="AC122" s="283"/>
    </row>
  </sheetData>
  <mergeCells count="1">
    <mergeCell ref="D3:E3"/>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K162"/>
  <sheetViews>
    <sheetView topLeftCell="A93" workbookViewId="0">
      <selection activeCell="B109" sqref="B26:BK109"/>
    </sheetView>
  </sheetViews>
  <sheetFormatPr baseColWidth="10" defaultColWidth="8.83203125" defaultRowHeight="15" x14ac:dyDescent="0.2"/>
  <cols>
    <col min="3" max="3" width="12.6640625" customWidth="1"/>
    <col min="6" max="6" width="16.5" bestFit="1" customWidth="1"/>
    <col min="36" max="36" width="2.5" customWidth="1"/>
  </cols>
  <sheetData>
    <row r="1" spans="1:63" x14ac:dyDescent="0.2">
      <c r="A1" t="s">
        <v>208</v>
      </c>
      <c r="B1" t="s">
        <v>230</v>
      </c>
      <c r="C1" t="s">
        <v>621</v>
      </c>
      <c r="D1" t="s">
        <v>622</v>
      </c>
    </row>
    <row r="2" spans="1:63" ht="16" thickBot="1" x14ac:dyDescent="0.25"/>
    <row r="3" spans="1:63" x14ac:dyDescent="0.2">
      <c r="A3" s="213" t="s">
        <v>619</v>
      </c>
      <c r="B3" s="214"/>
      <c r="C3" s="214"/>
      <c r="D3" s="214"/>
      <c r="E3" s="214"/>
      <c r="F3" s="214"/>
      <c r="G3" s="214"/>
      <c r="H3" s="215"/>
      <c r="I3" s="214"/>
      <c r="J3" s="214"/>
      <c r="K3" s="214"/>
      <c r="L3" s="214"/>
      <c r="M3" s="214"/>
      <c r="N3" s="214"/>
      <c r="O3" s="214"/>
      <c r="P3" s="214"/>
      <c r="Q3" s="214"/>
      <c r="R3" s="214"/>
      <c r="S3" s="214"/>
      <c r="T3" s="214"/>
      <c r="U3" s="214"/>
      <c r="V3" s="214"/>
      <c r="W3" s="214"/>
      <c r="X3" s="214"/>
      <c r="Y3" s="215"/>
      <c r="Z3" s="214"/>
      <c r="AA3" s="214"/>
      <c r="AB3" s="214"/>
      <c r="AC3" s="214"/>
      <c r="AD3" s="215"/>
      <c r="AE3" s="215"/>
      <c r="AF3" s="214"/>
      <c r="AG3" s="214"/>
      <c r="AH3" s="214"/>
      <c r="AI3" s="216"/>
      <c r="AK3" s="242" t="s">
        <v>623</v>
      </c>
      <c r="AL3" s="243"/>
      <c r="AM3" s="178"/>
      <c r="AN3" s="178"/>
      <c r="AO3" s="178"/>
      <c r="AP3" s="178"/>
      <c r="AQ3" s="244"/>
      <c r="AR3" s="178"/>
      <c r="AS3" s="178"/>
      <c r="AT3" s="178"/>
      <c r="AU3" s="178"/>
      <c r="AV3" s="178"/>
      <c r="AW3" s="178"/>
      <c r="AX3" s="178"/>
      <c r="AY3" s="178"/>
      <c r="AZ3" s="244"/>
      <c r="BA3" s="244"/>
      <c r="BB3" s="244"/>
      <c r="BC3" s="215"/>
      <c r="BD3" s="244"/>
      <c r="BE3" s="244"/>
      <c r="BF3" s="244"/>
      <c r="BG3" s="244"/>
      <c r="BH3" s="244"/>
      <c r="BI3" s="244"/>
      <c r="BJ3" s="244"/>
      <c r="BK3" s="245"/>
    </row>
    <row r="4" spans="1:63" x14ac:dyDescent="0.2">
      <c r="A4" s="217"/>
      <c r="B4" s="199"/>
      <c r="C4" s="199"/>
      <c r="D4" s="199"/>
      <c r="E4" s="199"/>
      <c r="F4" s="199"/>
      <c r="G4" s="199"/>
      <c r="H4" s="218"/>
      <c r="I4" s="199"/>
      <c r="J4" s="199"/>
      <c r="K4" s="199"/>
      <c r="L4" s="199"/>
      <c r="M4" s="199"/>
      <c r="N4" s="199"/>
      <c r="O4" s="199"/>
      <c r="P4" s="199"/>
      <c r="Q4" s="199"/>
      <c r="R4" s="199"/>
      <c r="S4" s="199"/>
      <c r="T4" s="199"/>
      <c r="U4" s="199"/>
      <c r="V4" s="199"/>
      <c r="W4" s="199"/>
      <c r="X4" s="199"/>
      <c r="Y4" s="218"/>
      <c r="Z4" s="199"/>
      <c r="AA4" s="199"/>
      <c r="AB4" s="199"/>
      <c r="AC4" s="199"/>
      <c r="AD4" s="218"/>
      <c r="AE4" s="218"/>
      <c r="AF4" s="199"/>
      <c r="AG4" s="199"/>
      <c r="AH4" s="199"/>
      <c r="AI4" s="219"/>
      <c r="AK4" s="246"/>
      <c r="AL4" s="200"/>
      <c r="AM4" s="45"/>
      <c r="AN4" s="45"/>
      <c r="AO4" s="45"/>
      <c r="AP4" s="45"/>
      <c r="AQ4" s="128"/>
      <c r="AR4" s="45"/>
      <c r="AS4" s="45"/>
      <c r="AT4" s="45"/>
      <c r="AU4" s="45"/>
      <c r="AV4" s="45"/>
      <c r="AW4" s="45"/>
      <c r="AX4" s="45"/>
      <c r="AY4" s="45"/>
      <c r="AZ4" s="128"/>
      <c r="BA4" s="128"/>
      <c r="BB4" s="128"/>
      <c r="BC4" s="218"/>
      <c r="BD4" s="128"/>
      <c r="BE4" s="128"/>
      <c r="BF4" s="128"/>
      <c r="BG4" s="128"/>
      <c r="BH4" s="128"/>
      <c r="BI4" s="128"/>
      <c r="BJ4" s="128"/>
      <c r="BK4" s="247"/>
    </row>
    <row r="5" spans="1:63" x14ac:dyDescent="0.2">
      <c r="A5" s="217"/>
      <c r="B5" s="200"/>
      <c r="C5" s="200" t="s">
        <v>603</v>
      </c>
      <c r="D5" s="199"/>
      <c r="E5" s="200"/>
      <c r="F5" s="200"/>
      <c r="G5" s="200"/>
      <c r="H5" s="220"/>
      <c r="I5" s="200"/>
      <c r="J5" s="200"/>
      <c r="K5" s="199"/>
      <c r="L5" s="199"/>
      <c r="M5" s="199"/>
      <c r="N5" s="199"/>
      <c r="O5" s="199"/>
      <c r="P5" s="199"/>
      <c r="Q5" s="199"/>
      <c r="R5" s="199"/>
      <c r="S5" s="199"/>
      <c r="T5" s="200" t="s">
        <v>604</v>
      </c>
      <c r="U5" s="200"/>
      <c r="V5" s="200"/>
      <c r="W5" s="200"/>
      <c r="X5" s="200"/>
      <c r="Y5" s="218"/>
      <c r="Z5" s="199"/>
      <c r="AA5" s="199"/>
      <c r="AB5" s="199"/>
      <c r="AC5" s="199"/>
      <c r="AD5" s="218"/>
      <c r="AE5" s="218"/>
      <c r="AF5" s="199"/>
      <c r="AG5" s="199"/>
      <c r="AH5" s="199"/>
      <c r="AI5" s="219"/>
      <c r="AK5" s="248"/>
      <c r="AL5" s="45"/>
      <c r="AM5" s="200" t="s">
        <v>603</v>
      </c>
      <c r="AN5" s="200"/>
      <c r="AO5" s="200"/>
      <c r="AP5" s="200"/>
      <c r="AQ5" s="220"/>
      <c r="AR5" s="200"/>
      <c r="AS5" s="45"/>
      <c r="AT5" s="45"/>
      <c r="AU5" s="45"/>
      <c r="AV5" s="45"/>
      <c r="AW5" s="45"/>
      <c r="AX5" s="45"/>
      <c r="AY5" s="45"/>
      <c r="AZ5" s="220" t="s">
        <v>604</v>
      </c>
      <c r="BA5" s="220"/>
      <c r="BB5" s="220"/>
      <c r="BC5" s="218"/>
      <c r="BD5" s="128"/>
      <c r="BE5" s="128"/>
      <c r="BF5" s="128"/>
      <c r="BG5" s="128"/>
      <c r="BH5" s="128"/>
      <c r="BI5" s="128"/>
      <c r="BJ5" s="128"/>
      <c r="BK5" s="247"/>
    </row>
    <row r="6" spans="1:63" x14ac:dyDescent="0.2">
      <c r="A6" s="221"/>
      <c r="B6" s="199"/>
      <c r="C6" s="199"/>
      <c r="D6" s="199"/>
      <c r="E6" s="199"/>
      <c r="F6" s="199"/>
      <c r="G6" s="199"/>
      <c r="H6" s="218"/>
      <c r="I6" s="199"/>
      <c r="J6" s="199"/>
      <c r="K6" s="199"/>
      <c r="L6" s="199"/>
      <c r="M6" s="199"/>
      <c r="N6" s="199"/>
      <c r="O6" s="199"/>
      <c r="P6" s="199"/>
      <c r="Q6" s="199"/>
      <c r="R6" s="199"/>
      <c r="S6" s="199"/>
      <c r="T6" s="128" t="s">
        <v>620</v>
      </c>
      <c r="U6" s="199"/>
      <c r="V6" s="199"/>
      <c r="W6" s="199"/>
      <c r="X6" s="199"/>
      <c r="Y6" s="218"/>
      <c r="Z6" s="199"/>
      <c r="AA6" s="199"/>
      <c r="AB6" s="199"/>
      <c r="AC6" s="199"/>
      <c r="AD6" s="218"/>
      <c r="AE6" s="218"/>
      <c r="AF6" s="199"/>
      <c r="AG6" s="199"/>
      <c r="AH6" s="199"/>
      <c r="AI6" s="219"/>
      <c r="AK6" s="248"/>
      <c r="AL6" s="45"/>
      <c r="AM6" s="45"/>
      <c r="AN6" s="45"/>
      <c r="AO6" s="45"/>
      <c r="AP6" s="45"/>
      <c r="AQ6" s="128"/>
      <c r="AR6" s="45"/>
      <c r="AS6" s="45"/>
      <c r="AT6" s="45"/>
      <c r="AU6" s="45"/>
      <c r="AV6" s="45"/>
      <c r="AW6" s="45"/>
      <c r="AX6" s="45"/>
      <c r="AY6" s="45"/>
      <c r="AZ6" s="128" t="s">
        <v>605</v>
      </c>
      <c r="BA6" s="128"/>
      <c r="BB6" s="128"/>
      <c r="BC6" s="218"/>
      <c r="BD6" s="128"/>
      <c r="BE6" s="128"/>
      <c r="BF6" s="128"/>
      <c r="BG6" s="128"/>
      <c r="BH6" s="128"/>
      <c r="BI6" s="128"/>
      <c r="BJ6" s="128"/>
      <c r="BK6" s="247"/>
    </row>
    <row r="7" spans="1:63" ht="140" x14ac:dyDescent="0.2">
      <c r="A7" s="222" t="s">
        <v>606</v>
      </c>
      <c r="B7" s="201" t="s">
        <v>601</v>
      </c>
      <c r="C7" s="202" t="s">
        <v>607</v>
      </c>
      <c r="D7" s="202" t="s">
        <v>608</v>
      </c>
      <c r="E7" s="653" t="s">
        <v>609</v>
      </c>
      <c r="F7" s="654"/>
      <c r="G7" s="202" t="s">
        <v>610</v>
      </c>
      <c r="H7" s="202" t="s">
        <v>611</v>
      </c>
      <c r="I7" s="653" t="s">
        <v>612</v>
      </c>
      <c r="J7" s="654"/>
      <c r="K7" s="202" t="s">
        <v>613</v>
      </c>
      <c r="L7" s="202" t="s">
        <v>614</v>
      </c>
      <c r="M7" s="653" t="s">
        <v>615</v>
      </c>
      <c r="N7" s="654"/>
      <c r="O7" s="202" t="s">
        <v>616</v>
      </c>
      <c r="P7" s="202" t="s">
        <v>617</v>
      </c>
      <c r="Q7" s="653" t="s">
        <v>618</v>
      </c>
      <c r="R7" s="654"/>
      <c r="S7" s="223"/>
      <c r="T7" s="202" t="s">
        <v>607</v>
      </c>
      <c r="U7" s="202" t="s">
        <v>608</v>
      </c>
      <c r="V7" s="651" t="s">
        <v>609</v>
      </c>
      <c r="W7" s="651"/>
      <c r="X7" s="202" t="s">
        <v>610</v>
      </c>
      <c r="Y7" s="202" t="s">
        <v>611</v>
      </c>
      <c r="Z7" s="651" t="s">
        <v>612</v>
      </c>
      <c r="AA7" s="651"/>
      <c r="AB7" s="202" t="s">
        <v>613</v>
      </c>
      <c r="AC7" s="202" t="s">
        <v>614</v>
      </c>
      <c r="AD7" s="651" t="s">
        <v>615</v>
      </c>
      <c r="AE7" s="651"/>
      <c r="AF7" s="202" t="s">
        <v>616</v>
      </c>
      <c r="AG7" s="202" t="s">
        <v>617</v>
      </c>
      <c r="AH7" s="651" t="s">
        <v>618</v>
      </c>
      <c r="AI7" s="652"/>
      <c r="AK7" s="249" t="s">
        <v>606</v>
      </c>
      <c r="AL7" s="238"/>
      <c r="AM7" s="239" t="s">
        <v>624</v>
      </c>
      <c r="AN7" s="202" t="s">
        <v>625</v>
      </c>
      <c r="AO7" s="239" t="s">
        <v>626</v>
      </c>
      <c r="AP7" s="202" t="s">
        <v>627</v>
      </c>
      <c r="AQ7" s="239" t="s">
        <v>628</v>
      </c>
      <c r="AR7" s="202" t="s">
        <v>629</v>
      </c>
      <c r="AS7" s="202" t="s">
        <v>630</v>
      </c>
      <c r="AT7" s="202" t="s">
        <v>631</v>
      </c>
      <c r="AU7" s="202" t="s">
        <v>632</v>
      </c>
      <c r="AV7" s="202" t="s">
        <v>633</v>
      </c>
      <c r="AW7" s="202" t="s">
        <v>634</v>
      </c>
      <c r="AX7" s="202" t="s">
        <v>635</v>
      </c>
      <c r="AY7" s="250"/>
      <c r="AZ7" s="239" t="s">
        <v>624</v>
      </c>
      <c r="BA7" s="202" t="s">
        <v>636</v>
      </c>
      <c r="BB7" s="239" t="s">
        <v>626</v>
      </c>
      <c r="BC7" s="239" t="s">
        <v>637</v>
      </c>
      <c r="BD7" s="202" t="s">
        <v>628</v>
      </c>
      <c r="BE7" s="202" t="s">
        <v>629</v>
      </c>
      <c r="BF7" s="202" t="s">
        <v>630</v>
      </c>
      <c r="BG7" s="202" t="s">
        <v>631</v>
      </c>
      <c r="BH7" s="202" t="s">
        <v>632</v>
      </c>
      <c r="BI7" s="239" t="s">
        <v>633</v>
      </c>
      <c r="BJ7" s="239" t="s">
        <v>638</v>
      </c>
      <c r="BK7" s="251" t="s">
        <v>635</v>
      </c>
    </row>
    <row r="8" spans="1:63" x14ac:dyDescent="0.2">
      <c r="A8" s="224">
        <v>900.755</v>
      </c>
      <c r="B8" s="203"/>
      <c r="C8" s="204">
        <v>1220</v>
      </c>
      <c r="D8" s="204">
        <v>1220</v>
      </c>
      <c r="E8" s="205">
        <v>576</v>
      </c>
      <c r="F8" s="205">
        <v>1864</v>
      </c>
      <c r="G8" s="258">
        <v>17.2</v>
      </c>
      <c r="H8" s="206">
        <v>17.2</v>
      </c>
      <c r="I8" s="207">
        <v>10.5</v>
      </c>
      <c r="J8" s="207">
        <v>23.9</v>
      </c>
      <c r="K8" s="206">
        <v>12.25</v>
      </c>
      <c r="L8" s="206">
        <v>12.25</v>
      </c>
      <c r="M8" s="208">
        <v>5.0999999999999996</v>
      </c>
      <c r="N8" s="208">
        <v>19.399999999999999</v>
      </c>
      <c r="O8" s="206">
        <v>22.1</v>
      </c>
      <c r="P8" s="206">
        <v>22.1</v>
      </c>
      <c r="Q8" s="209">
        <v>16.3</v>
      </c>
      <c r="R8" s="208">
        <v>27.9</v>
      </c>
      <c r="S8" s="45"/>
      <c r="T8" s="209">
        <v>1603</v>
      </c>
      <c r="U8" s="209">
        <v>1603</v>
      </c>
      <c r="V8" s="210">
        <v>1223</v>
      </c>
      <c r="W8" s="210">
        <v>1983</v>
      </c>
      <c r="X8" s="206">
        <v>10.45</v>
      </c>
      <c r="Y8" s="211">
        <v>10.45</v>
      </c>
      <c r="Z8" s="207">
        <v>10.4</v>
      </c>
      <c r="AA8" s="207">
        <v>10.5</v>
      </c>
      <c r="AB8" s="206">
        <v>6</v>
      </c>
      <c r="AC8" s="207">
        <v>6</v>
      </c>
      <c r="AD8" s="208">
        <v>5.0999999999999996</v>
      </c>
      <c r="AE8" s="208">
        <v>6.9</v>
      </c>
      <c r="AF8" s="206">
        <v>14.8</v>
      </c>
      <c r="AG8" s="211">
        <v>14.8</v>
      </c>
      <c r="AH8" s="207">
        <v>14.4</v>
      </c>
      <c r="AI8" s="225">
        <v>15.2</v>
      </c>
      <c r="AK8" s="252">
        <v>900.755</v>
      </c>
      <c r="AL8" s="45"/>
      <c r="AM8" s="204">
        <v>1377.5</v>
      </c>
      <c r="AN8" s="204">
        <v>1377.5</v>
      </c>
      <c r="AO8" s="204">
        <v>594.5</v>
      </c>
      <c r="AP8" s="206">
        <v>12.89</v>
      </c>
      <c r="AQ8" s="211">
        <v>12.89</v>
      </c>
      <c r="AR8" s="206">
        <v>2.91</v>
      </c>
      <c r="AS8" s="206">
        <v>8.1999999999999993</v>
      </c>
      <c r="AT8" s="206">
        <v>8.1999999999999993</v>
      </c>
      <c r="AU8" s="206">
        <v>3.7</v>
      </c>
      <c r="AV8" s="206">
        <v>17.43</v>
      </c>
      <c r="AW8" s="206">
        <v>17.43</v>
      </c>
      <c r="AX8" s="206">
        <v>2.37</v>
      </c>
      <c r="AY8" s="45"/>
      <c r="AZ8" s="240">
        <v>1573.75</v>
      </c>
      <c r="BA8" s="240">
        <v>1573.75</v>
      </c>
      <c r="BB8" s="241">
        <v>545.15</v>
      </c>
      <c r="BC8" s="206">
        <v>10.315</v>
      </c>
      <c r="BD8" s="211">
        <v>10.315</v>
      </c>
      <c r="BE8" s="206">
        <v>0.44500000000000001</v>
      </c>
      <c r="BF8" s="206">
        <v>5.82</v>
      </c>
      <c r="BG8" s="211">
        <v>5.82</v>
      </c>
      <c r="BH8" s="206">
        <v>1.08</v>
      </c>
      <c r="BI8" s="206">
        <v>14.73</v>
      </c>
      <c r="BJ8" s="211">
        <v>14.73</v>
      </c>
      <c r="BK8" s="253">
        <v>-0.11999999999999922</v>
      </c>
    </row>
    <row r="9" spans="1:63" x14ac:dyDescent="0.2">
      <c r="A9" s="224">
        <v>910.29499999999996</v>
      </c>
      <c r="B9" s="203"/>
      <c r="C9" s="204">
        <v>1636.5</v>
      </c>
      <c r="D9" s="212"/>
      <c r="E9" s="205">
        <v>1139</v>
      </c>
      <c r="F9" s="205">
        <v>2134</v>
      </c>
      <c r="G9" s="258">
        <v>17.55</v>
      </c>
      <c r="H9" s="208"/>
      <c r="I9" s="207">
        <v>10.5</v>
      </c>
      <c r="J9" s="207">
        <v>24.6</v>
      </c>
      <c r="K9" s="206">
        <v>14.2</v>
      </c>
      <c r="L9" s="207"/>
      <c r="M9" s="208">
        <v>7</v>
      </c>
      <c r="N9" s="208">
        <v>21.4</v>
      </c>
      <c r="O9" s="206">
        <v>23.5</v>
      </c>
      <c r="P9" s="207"/>
      <c r="Q9" s="209">
        <v>19.8</v>
      </c>
      <c r="R9" s="208">
        <v>27.2</v>
      </c>
      <c r="S9" s="45"/>
      <c r="T9" s="209">
        <v>1678.5</v>
      </c>
      <c r="U9" s="209">
        <v>1678.5</v>
      </c>
      <c r="V9" s="210">
        <v>1223</v>
      </c>
      <c r="W9" s="210">
        <v>2134</v>
      </c>
      <c r="X9" s="206">
        <v>10.45</v>
      </c>
      <c r="Y9" s="208">
        <v>10.45</v>
      </c>
      <c r="Z9" s="207">
        <v>10.4</v>
      </c>
      <c r="AA9" s="207">
        <v>10.5</v>
      </c>
      <c r="AB9" s="206">
        <v>6</v>
      </c>
      <c r="AC9" s="207">
        <v>6</v>
      </c>
      <c r="AD9" s="208">
        <v>5.0999999999999996</v>
      </c>
      <c r="AE9" s="208">
        <v>6.9</v>
      </c>
      <c r="AF9" s="206">
        <v>14.8</v>
      </c>
      <c r="AG9" s="211">
        <v>14.8</v>
      </c>
      <c r="AH9" s="207">
        <v>14.4</v>
      </c>
      <c r="AI9" s="225">
        <v>15.2</v>
      </c>
      <c r="AK9" s="252">
        <v>910.29499999999996</v>
      </c>
      <c r="AL9" s="45"/>
      <c r="AM9" s="204">
        <v>1656.6</v>
      </c>
      <c r="AN9" s="204"/>
      <c r="AO9" s="204">
        <v>583</v>
      </c>
      <c r="AP9" s="206">
        <v>12.565</v>
      </c>
      <c r="AQ9" s="211"/>
      <c r="AR9" s="206">
        <v>2.0950000000000002</v>
      </c>
      <c r="AS9" s="206">
        <v>8.84</v>
      </c>
      <c r="AT9" s="206"/>
      <c r="AU9" s="206">
        <v>2.41</v>
      </c>
      <c r="AV9" s="206">
        <v>18.03</v>
      </c>
      <c r="AW9" s="206"/>
      <c r="AX9" s="206">
        <v>0.21000000000000085</v>
      </c>
      <c r="AY9" s="45"/>
      <c r="AZ9" s="240">
        <v>1739.7</v>
      </c>
      <c r="BA9" s="240">
        <v>1739.7</v>
      </c>
      <c r="BB9" s="241">
        <v>711.1</v>
      </c>
      <c r="BC9" s="206">
        <v>8.3800000000000008</v>
      </c>
      <c r="BD9" s="211">
        <v>8.3800000000000008</v>
      </c>
      <c r="BE9" s="206">
        <v>2.38</v>
      </c>
      <c r="BF9" s="206">
        <v>4.5149999999999997</v>
      </c>
      <c r="BG9" s="211">
        <v>4.5149999999999997</v>
      </c>
      <c r="BH9" s="206">
        <v>2.3849999999999998</v>
      </c>
      <c r="BI9" s="206">
        <v>13.225</v>
      </c>
      <c r="BJ9" s="211">
        <v>13.225</v>
      </c>
      <c r="BK9" s="253">
        <v>1.385</v>
      </c>
    </row>
    <row r="10" spans="1:63" x14ac:dyDescent="0.2">
      <c r="A10" s="224">
        <v>910.81500000000005</v>
      </c>
      <c r="B10" s="203"/>
      <c r="C10" s="204">
        <v>1636.5</v>
      </c>
      <c r="D10" s="204">
        <v>1636.5</v>
      </c>
      <c r="E10" s="205">
        <v>1139</v>
      </c>
      <c r="F10" s="205">
        <v>2134</v>
      </c>
      <c r="G10" s="258">
        <v>18.75</v>
      </c>
      <c r="H10" s="208">
        <v>18.75</v>
      </c>
      <c r="I10" s="207">
        <v>12.9</v>
      </c>
      <c r="J10" s="207">
        <v>24.6</v>
      </c>
      <c r="K10" s="206">
        <v>14.2</v>
      </c>
      <c r="L10" s="208">
        <v>14.2</v>
      </c>
      <c r="M10" s="208">
        <v>7</v>
      </c>
      <c r="N10" s="208">
        <v>21.4</v>
      </c>
      <c r="O10" s="206">
        <v>23.5</v>
      </c>
      <c r="P10" s="208">
        <v>23.5</v>
      </c>
      <c r="Q10" s="209">
        <v>19.8</v>
      </c>
      <c r="R10" s="208">
        <v>27.2</v>
      </c>
      <c r="S10" s="45"/>
      <c r="T10" s="209">
        <v>1603</v>
      </c>
      <c r="U10" s="209">
        <v>1603</v>
      </c>
      <c r="V10" s="210">
        <v>1223</v>
      </c>
      <c r="W10" s="210">
        <v>1983</v>
      </c>
      <c r="X10" s="206">
        <v>10.45</v>
      </c>
      <c r="Y10" s="208">
        <v>10.45</v>
      </c>
      <c r="Z10" s="207">
        <v>10.4</v>
      </c>
      <c r="AA10" s="207">
        <v>10.5</v>
      </c>
      <c r="AB10" s="206">
        <v>6</v>
      </c>
      <c r="AC10" s="207">
        <v>6</v>
      </c>
      <c r="AD10" s="208">
        <v>5.0999999999999996</v>
      </c>
      <c r="AE10" s="208">
        <v>6.9</v>
      </c>
      <c r="AF10" s="206">
        <v>14.8</v>
      </c>
      <c r="AG10" s="211">
        <v>14.8</v>
      </c>
      <c r="AH10" s="207">
        <v>14.4</v>
      </c>
      <c r="AI10" s="225">
        <v>15.2</v>
      </c>
      <c r="AK10" s="252">
        <v>910.81500000000005</v>
      </c>
      <c r="AL10" s="45"/>
      <c r="AM10" s="204">
        <v>1670</v>
      </c>
      <c r="AN10" s="204">
        <v>1670</v>
      </c>
      <c r="AO10" s="204">
        <v>640</v>
      </c>
      <c r="AP10" s="206">
        <v>14.6</v>
      </c>
      <c r="AQ10" s="211">
        <v>14.6</v>
      </c>
      <c r="AR10" s="206">
        <v>2.9</v>
      </c>
      <c r="AS10" s="206">
        <v>10.574999999999999</v>
      </c>
      <c r="AT10" s="206">
        <v>10.574999999999999</v>
      </c>
      <c r="AU10" s="206">
        <v>3.5750000000000002</v>
      </c>
      <c r="AV10" s="206">
        <v>19.725000000000001</v>
      </c>
      <c r="AW10" s="206">
        <v>19.725000000000001</v>
      </c>
      <c r="AX10" s="206">
        <v>1.075</v>
      </c>
      <c r="AY10" s="45"/>
      <c r="AZ10" s="240">
        <v>1573.75</v>
      </c>
      <c r="BA10" s="240">
        <v>1573.75</v>
      </c>
      <c r="BB10" s="241">
        <v>545.15</v>
      </c>
      <c r="BC10" s="206">
        <v>10.315</v>
      </c>
      <c r="BD10" s="211">
        <v>10.3</v>
      </c>
      <c r="BE10" s="206">
        <v>0.44500000000000001</v>
      </c>
      <c r="BF10" s="206">
        <v>5.82</v>
      </c>
      <c r="BG10" s="211">
        <v>5.82</v>
      </c>
      <c r="BH10" s="206">
        <v>1.08</v>
      </c>
      <c r="BI10" s="206">
        <v>14.73</v>
      </c>
      <c r="BJ10" s="211">
        <v>14.73</v>
      </c>
      <c r="BK10" s="253">
        <v>-0.11999999999999922</v>
      </c>
    </row>
    <row r="11" spans="1:63" x14ac:dyDescent="0.2">
      <c r="A11" s="224">
        <v>911.625</v>
      </c>
      <c r="B11" s="203"/>
      <c r="C11" s="204">
        <v>1636.5</v>
      </c>
      <c r="D11" s="212"/>
      <c r="E11" s="205">
        <v>1139</v>
      </c>
      <c r="F11" s="205">
        <v>2134</v>
      </c>
      <c r="G11" s="258">
        <v>17.55</v>
      </c>
      <c r="H11" s="208"/>
      <c r="I11" s="207">
        <v>10.5</v>
      </c>
      <c r="J11" s="207">
        <v>24.6</v>
      </c>
      <c r="K11" s="206">
        <v>14.2</v>
      </c>
      <c r="L11" s="207"/>
      <c r="M11" s="208">
        <v>7</v>
      </c>
      <c r="N11" s="208">
        <v>21.4</v>
      </c>
      <c r="O11" s="206">
        <v>23.5</v>
      </c>
      <c r="P11" s="207"/>
      <c r="Q11" s="209">
        <v>19.8</v>
      </c>
      <c r="R11" s="208">
        <v>27.2</v>
      </c>
      <c r="S11" s="45"/>
      <c r="T11" s="209">
        <v>1678.5</v>
      </c>
      <c r="U11" s="209">
        <v>1678.5</v>
      </c>
      <c r="V11" s="210">
        <v>1223</v>
      </c>
      <c r="W11" s="210">
        <v>2134</v>
      </c>
      <c r="X11" s="206">
        <v>10.45</v>
      </c>
      <c r="Y11" s="208">
        <v>10.45</v>
      </c>
      <c r="Z11" s="207">
        <v>10.4</v>
      </c>
      <c r="AA11" s="207">
        <v>10.5</v>
      </c>
      <c r="AB11" s="206">
        <v>6</v>
      </c>
      <c r="AC11" s="207">
        <v>6</v>
      </c>
      <c r="AD11" s="208">
        <v>5.0999999999999996</v>
      </c>
      <c r="AE11" s="208">
        <v>6.9</v>
      </c>
      <c r="AF11" s="206">
        <v>14.8</v>
      </c>
      <c r="AG11" s="211">
        <v>14.8</v>
      </c>
      <c r="AH11" s="207">
        <v>14.4</v>
      </c>
      <c r="AI11" s="225">
        <v>15.2</v>
      </c>
      <c r="AK11" s="252">
        <v>911.625</v>
      </c>
      <c r="AL11" s="45"/>
      <c r="AM11" s="204">
        <v>1656.6</v>
      </c>
      <c r="AN11" s="204"/>
      <c r="AO11" s="204">
        <v>583</v>
      </c>
      <c r="AP11" s="206">
        <v>12.565</v>
      </c>
      <c r="AQ11" s="211"/>
      <c r="AR11" s="206">
        <v>2.0950000000000002</v>
      </c>
      <c r="AS11" s="206">
        <v>8.84</v>
      </c>
      <c r="AT11" s="206"/>
      <c r="AU11" s="206">
        <v>2.41</v>
      </c>
      <c r="AV11" s="206">
        <v>18.03</v>
      </c>
      <c r="AW11" s="206"/>
      <c r="AX11" s="206">
        <v>0.21000000000000085</v>
      </c>
      <c r="AY11" s="45"/>
      <c r="AZ11" s="240">
        <v>1717.65</v>
      </c>
      <c r="BA11" s="240">
        <v>1717.65</v>
      </c>
      <c r="BB11" s="241">
        <v>733.15</v>
      </c>
      <c r="BC11" s="206">
        <v>8.15</v>
      </c>
      <c r="BD11" s="211">
        <v>8.15</v>
      </c>
      <c r="BE11" s="206">
        <v>2.65</v>
      </c>
      <c r="BF11" s="206">
        <v>4.3499999999999996</v>
      </c>
      <c r="BG11" s="211">
        <v>4.3499999999999996</v>
      </c>
      <c r="BH11" s="206">
        <v>2.5499999999999998</v>
      </c>
      <c r="BI11" s="206">
        <v>13</v>
      </c>
      <c r="BJ11" s="211">
        <v>13</v>
      </c>
      <c r="BK11" s="253">
        <v>1.64</v>
      </c>
    </row>
    <row r="12" spans="1:63" x14ac:dyDescent="0.2">
      <c r="A12" s="224">
        <v>919.89499999999998</v>
      </c>
      <c r="B12" s="203"/>
      <c r="C12" s="204"/>
      <c r="D12" s="212"/>
      <c r="E12" s="205"/>
      <c r="F12" s="205"/>
      <c r="G12" s="258"/>
      <c r="H12" s="208"/>
      <c r="I12" s="207"/>
      <c r="J12" s="207"/>
      <c r="K12" s="206"/>
      <c r="L12" s="207"/>
      <c r="M12" s="208"/>
      <c r="N12" s="208"/>
      <c r="O12" s="206"/>
      <c r="P12" s="207"/>
      <c r="Q12" s="209"/>
      <c r="R12" s="208"/>
      <c r="S12" s="45"/>
      <c r="T12" s="209"/>
      <c r="U12" s="210"/>
      <c r="V12" s="210"/>
      <c r="W12" s="210"/>
      <c r="X12" s="206"/>
      <c r="Y12" s="208"/>
      <c r="Z12" s="207"/>
      <c r="AA12" s="207"/>
      <c r="AB12" s="206"/>
      <c r="AC12" s="207"/>
      <c r="AD12" s="208"/>
      <c r="AE12" s="208"/>
      <c r="AF12" s="206"/>
      <c r="AG12" s="211"/>
      <c r="AH12" s="207"/>
      <c r="AI12" s="225"/>
      <c r="AK12" s="252">
        <v>919.89499999999998</v>
      </c>
      <c r="AL12" s="45"/>
      <c r="AM12" s="204"/>
      <c r="AN12" s="204"/>
      <c r="AO12" s="204"/>
      <c r="AP12" s="206"/>
      <c r="AQ12" s="211"/>
      <c r="AR12" s="206"/>
      <c r="AS12" s="206"/>
      <c r="AT12" s="206"/>
      <c r="AU12" s="206"/>
      <c r="AV12" s="206"/>
      <c r="AW12" s="206"/>
      <c r="AX12" s="206"/>
      <c r="AY12" s="45"/>
      <c r="AZ12" s="240"/>
      <c r="BA12" s="240"/>
      <c r="BB12" s="241"/>
      <c r="BC12" s="206"/>
      <c r="BD12" s="211"/>
      <c r="BE12" s="206"/>
      <c r="BF12" s="206"/>
      <c r="BG12" s="211"/>
      <c r="BH12" s="206"/>
      <c r="BI12" s="206"/>
      <c r="BJ12" s="211"/>
      <c r="BK12" s="253"/>
    </row>
    <row r="13" spans="1:63" x14ac:dyDescent="0.2">
      <c r="A13" s="224">
        <v>920.22500000000002</v>
      </c>
      <c r="B13" s="203"/>
      <c r="C13" s="204"/>
      <c r="D13" s="212"/>
      <c r="E13" s="205"/>
      <c r="F13" s="205"/>
      <c r="G13" s="258"/>
      <c r="H13" s="208"/>
      <c r="I13" s="207"/>
      <c r="J13" s="207"/>
      <c r="K13" s="206"/>
      <c r="L13" s="207"/>
      <c r="M13" s="208"/>
      <c r="N13" s="208"/>
      <c r="O13" s="206"/>
      <c r="P13" s="207"/>
      <c r="Q13" s="209"/>
      <c r="R13" s="208"/>
      <c r="S13" s="45"/>
      <c r="T13" s="209">
        <v>1914</v>
      </c>
      <c r="U13" s="210"/>
      <c r="V13" s="210">
        <v>1007</v>
      </c>
      <c r="W13" s="210">
        <v>2821</v>
      </c>
      <c r="X13" s="206">
        <v>9</v>
      </c>
      <c r="Y13" s="208"/>
      <c r="Z13" s="207">
        <v>5.5</v>
      </c>
      <c r="AA13" s="207">
        <v>12.5</v>
      </c>
      <c r="AB13" s="206">
        <v>4.05</v>
      </c>
      <c r="AC13" s="211"/>
      <c r="AD13" s="208">
        <v>1</v>
      </c>
      <c r="AE13" s="208">
        <v>7.1</v>
      </c>
      <c r="AF13" s="206">
        <v>21.4</v>
      </c>
      <c r="AG13" s="211"/>
      <c r="AH13" s="207">
        <v>15.2</v>
      </c>
      <c r="AI13" s="225">
        <v>27.6</v>
      </c>
      <c r="AK13" s="252">
        <v>920.22500000000002</v>
      </c>
      <c r="AL13" s="45"/>
      <c r="AM13" s="204"/>
      <c r="AN13" s="204"/>
      <c r="AO13" s="204"/>
      <c r="AP13" s="206"/>
      <c r="AQ13" s="211"/>
      <c r="AR13" s="206"/>
      <c r="AS13" s="206"/>
      <c r="AT13" s="206"/>
      <c r="AU13" s="206"/>
      <c r="AV13" s="206"/>
      <c r="AW13" s="206"/>
      <c r="AX13" s="206"/>
      <c r="AY13" s="45"/>
      <c r="AZ13" s="240">
        <v>2018.1</v>
      </c>
      <c r="BA13" s="240"/>
      <c r="BB13" s="241">
        <v>1036.9000000000001</v>
      </c>
      <c r="BC13" s="206">
        <v>10.875</v>
      </c>
      <c r="BD13" s="211"/>
      <c r="BE13" s="206">
        <v>5.585</v>
      </c>
      <c r="BF13" s="206">
        <v>6.3449999999999998</v>
      </c>
      <c r="BG13" s="211"/>
      <c r="BH13" s="206">
        <v>5.5549999999999997</v>
      </c>
      <c r="BI13" s="206">
        <v>20.75</v>
      </c>
      <c r="BJ13" s="211"/>
      <c r="BK13" s="253">
        <v>6.93</v>
      </c>
    </row>
    <row r="14" spans="1:63" x14ac:dyDescent="0.2">
      <c r="A14" s="224">
        <v>920.61500000000001</v>
      </c>
      <c r="B14" s="203"/>
      <c r="C14" s="204"/>
      <c r="D14" s="212"/>
      <c r="E14" s="205"/>
      <c r="F14" s="205"/>
      <c r="G14" s="258"/>
      <c r="H14" s="208"/>
      <c r="I14" s="207"/>
      <c r="J14" s="207"/>
      <c r="K14" s="206"/>
      <c r="L14" s="207"/>
      <c r="M14" s="208"/>
      <c r="N14" s="208"/>
      <c r="O14" s="206"/>
      <c r="P14" s="207"/>
      <c r="Q14" s="209"/>
      <c r="R14" s="208"/>
      <c r="S14" s="45"/>
      <c r="T14" s="209"/>
      <c r="U14" s="210"/>
      <c r="V14" s="210"/>
      <c r="W14" s="210"/>
      <c r="X14" s="206"/>
      <c r="Y14" s="208"/>
      <c r="Z14" s="207"/>
      <c r="AA14" s="207"/>
      <c r="AB14" s="206"/>
      <c r="AC14" s="207"/>
      <c r="AD14" s="208"/>
      <c r="AE14" s="208"/>
      <c r="AF14" s="206"/>
      <c r="AG14" s="211"/>
      <c r="AH14" s="207"/>
      <c r="AI14" s="225"/>
      <c r="AK14" s="252">
        <v>920.61500000000001</v>
      </c>
      <c r="AL14" s="45"/>
      <c r="AM14" s="204"/>
      <c r="AN14" s="204"/>
      <c r="AO14" s="204"/>
      <c r="AP14" s="206"/>
      <c r="AQ14" s="211"/>
      <c r="AR14" s="206"/>
      <c r="AS14" s="206"/>
      <c r="AT14" s="206"/>
      <c r="AU14" s="206"/>
      <c r="AV14" s="206"/>
      <c r="AW14" s="206"/>
      <c r="AX14" s="206"/>
      <c r="AY14" s="45"/>
      <c r="AZ14" s="240"/>
      <c r="BA14" s="240"/>
      <c r="BB14" s="241"/>
      <c r="BC14" s="206"/>
      <c r="BD14" s="211"/>
      <c r="BE14" s="206"/>
      <c r="BF14" s="206"/>
      <c r="BG14" s="211"/>
      <c r="BH14" s="206"/>
      <c r="BI14" s="206"/>
      <c r="BJ14" s="211"/>
      <c r="BK14" s="253"/>
    </row>
    <row r="15" spans="1:63" x14ac:dyDescent="0.2">
      <c r="A15" s="224">
        <v>920.81500000000005</v>
      </c>
      <c r="B15" s="203"/>
      <c r="C15" s="204">
        <v>1358.5</v>
      </c>
      <c r="D15" s="204">
        <v>1358.5</v>
      </c>
      <c r="E15" s="205">
        <v>583</v>
      </c>
      <c r="F15" s="205">
        <v>2134</v>
      </c>
      <c r="G15" s="258">
        <v>19.3</v>
      </c>
      <c r="H15" s="206">
        <v>19.3</v>
      </c>
      <c r="I15" s="207">
        <v>12.9</v>
      </c>
      <c r="J15" s="207">
        <v>25.7</v>
      </c>
      <c r="K15" s="206">
        <v>15</v>
      </c>
      <c r="L15" s="206">
        <v>15</v>
      </c>
      <c r="M15" s="208">
        <v>7</v>
      </c>
      <c r="N15" s="208">
        <v>23</v>
      </c>
      <c r="O15" s="206">
        <v>22.7</v>
      </c>
      <c r="P15" s="206">
        <v>22.7</v>
      </c>
      <c r="Q15" s="209">
        <v>17.5</v>
      </c>
      <c r="R15" s="208">
        <v>27.9</v>
      </c>
      <c r="S15" s="45"/>
      <c r="T15" s="209">
        <v>1678.5</v>
      </c>
      <c r="U15" s="209">
        <v>1678.5</v>
      </c>
      <c r="V15" s="210">
        <v>1223</v>
      </c>
      <c r="W15" s="210">
        <v>2134</v>
      </c>
      <c r="X15" s="206">
        <v>10.45</v>
      </c>
      <c r="Y15" s="208">
        <v>10.45</v>
      </c>
      <c r="Z15" s="207">
        <v>10.4</v>
      </c>
      <c r="AA15" s="207">
        <v>10.5</v>
      </c>
      <c r="AB15" s="206">
        <v>6</v>
      </c>
      <c r="AC15" s="207">
        <v>6</v>
      </c>
      <c r="AD15" s="208">
        <v>5.0999999999999996</v>
      </c>
      <c r="AE15" s="208">
        <v>6.9</v>
      </c>
      <c r="AF15" s="206">
        <v>14.8</v>
      </c>
      <c r="AG15" s="211">
        <v>14.8</v>
      </c>
      <c r="AH15" s="207">
        <v>14.4</v>
      </c>
      <c r="AI15" s="225">
        <v>15.2</v>
      </c>
      <c r="AK15" s="252">
        <v>920.81500000000005</v>
      </c>
      <c r="AL15" s="45"/>
      <c r="AM15" s="204">
        <v>1530.3</v>
      </c>
      <c r="AN15" s="204">
        <v>1530.3</v>
      </c>
      <c r="AO15" s="204">
        <v>744.5</v>
      </c>
      <c r="AP15" s="206">
        <v>14.23</v>
      </c>
      <c r="AQ15" s="211">
        <v>14.23</v>
      </c>
      <c r="AR15" s="206">
        <v>2.29</v>
      </c>
      <c r="AS15" s="206">
        <v>9.7899999999999991</v>
      </c>
      <c r="AT15" s="206">
        <v>9.7899999999999991</v>
      </c>
      <c r="AU15" s="206">
        <v>3.55</v>
      </c>
      <c r="AV15" s="206">
        <v>17.79</v>
      </c>
      <c r="AW15" s="206">
        <v>17.79</v>
      </c>
      <c r="AX15" s="206">
        <v>2.0099999999999998</v>
      </c>
      <c r="AY15" s="45"/>
      <c r="AZ15" s="240">
        <v>1739.7</v>
      </c>
      <c r="BA15" s="240">
        <v>1739.7</v>
      </c>
      <c r="BB15" s="241">
        <v>711.1</v>
      </c>
      <c r="BC15" s="206">
        <v>8.3800000000000008</v>
      </c>
      <c r="BD15" s="211">
        <v>8.3800000000000008</v>
      </c>
      <c r="BE15" s="206">
        <v>2.38</v>
      </c>
      <c r="BF15" s="206">
        <v>4.5149999999999997</v>
      </c>
      <c r="BG15" s="211">
        <v>4.5149999999999997</v>
      </c>
      <c r="BH15" s="206">
        <v>2.3849999999999998</v>
      </c>
      <c r="BI15" s="206">
        <v>13.225</v>
      </c>
      <c r="BJ15" s="211">
        <v>13.225</v>
      </c>
      <c r="BK15" s="253">
        <v>1.385</v>
      </c>
    </row>
    <row r="16" spans="1:63" x14ac:dyDescent="0.2">
      <c r="A16" s="224">
        <v>921.54499999999996</v>
      </c>
      <c r="B16" s="203"/>
      <c r="C16" s="204"/>
      <c r="D16" s="212"/>
      <c r="E16" s="205"/>
      <c r="F16" s="205"/>
      <c r="G16" s="258"/>
      <c r="H16" s="208"/>
      <c r="I16" s="207"/>
      <c r="J16" s="207"/>
      <c r="K16" s="206"/>
      <c r="L16" s="207"/>
      <c r="M16" s="208"/>
      <c r="N16" s="208"/>
      <c r="O16" s="206"/>
      <c r="P16" s="207"/>
      <c r="Q16" s="209"/>
      <c r="R16" s="208"/>
      <c r="S16" s="45"/>
      <c r="T16" s="209"/>
      <c r="U16" s="210"/>
      <c r="V16" s="210"/>
      <c r="W16" s="210"/>
      <c r="X16" s="206"/>
      <c r="Y16" s="208"/>
      <c r="Z16" s="207"/>
      <c r="AA16" s="207"/>
      <c r="AB16" s="206"/>
      <c r="AC16" s="207"/>
      <c r="AD16" s="208"/>
      <c r="AE16" s="208"/>
      <c r="AF16" s="206"/>
      <c r="AG16" s="211"/>
      <c r="AH16" s="207"/>
      <c r="AI16" s="225"/>
      <c r="AK16" s="252">
        <v>921.54499999999996</v>
      </c>
      <c r="AL16" s="45"/>
      <c r="AM16" s="204"/>
      <c r="AN16" s="204"/>
      <c r="AO16" s="204"/>
      <c r="AP16" s="206"/>
      <c r="AQ16" s="211"/>
      <c r="AR16" s="206"/>
      <c r="AS16" s="206"/>
      <c r="AT16" s="206"/>
      <c r="AU16" s="206"/>
      <c r="AV16" s="206"/>
      <c r="AW16" s="206"/>
      <c r="AX16" s="206"/>
      <c r="AY16" s="45"/>
      <c r="AZ16" s="240"/>
      <c r="BA16" s="240"/>
      <c r="BB16" s="241"/>
      <c r="BC16" s="206"/>
      <c r="BD16" s="211"/>
      <c r="BE16" s="206"/>
      <c r="BF16" s="206"/>
      <c r="BG16" s="211"/>
      <c r="BH16" s="206"/>
      <c r="BI16" s="206"/>
      <c r="BJ16" s="211"/>
      <c r="BK16" s="253"/>
    </row>
    <row r="17" spans="1:63" x14ac:dyDescent="0.2">
      <c r="A17" s="224">
        <v>921.96500000000003</v>
      </c>
      <c r="B17" s="203"/>
      <c r="C17" s="204"/>
      <c r="D17" s="212"/>
      <c r="E17" s="205"/>
      <c r="F17" s="205"/>
      <c r="G17" s="258"/>
      <c r="H17" s="208"/>
      <c r="I17" s="207"/>
      <c r="J17" s="207"/>
      <c r="K17" s="206"/>
      <c r="L17" s="207"/>
      <c r="M17" s="208"/>
      <c r="N17" s="208"/>
      <c r="O17" s="206"/>
      <c r="P17" s="207"/>
      <c r="Q17" s="209"/>
      <c r="R17" s="208"/>
      <c r="S17" s="45"/>
      <c r="T17" s="209"/>
      <c r="U17" s="210"/>
      <c r="V17" s="210"/>
      <c r="W17" s="210"/>
      <c r="X17" s="206"/>
      <c r="Y17" s="208"/>
      <c r="Z17" s="207"/>
      <c r="AA17" s="207"/>
      <c r="AB17" s="206"/>
      <c r="AC17" s="207"/>
      <c r="AD17" s="208"/>
      <c r="AE17" s="208"/>
      <c r="AF17" s="206"/>
      <c r="AG17" s="211"/>
      <c r="AH17" s="207"/>
      <c r="AI17" s="225"/>
      <c r="AK17" s="252">
        <v>921.96500000000003</v>
      </c>
      <c r="AL17" s="45"/>
      <c r="AM17" s="204"/>
      <c r="AN17" s="204"/>
      <c r="AO17" s="204"/>
      <c r="AP17" s="206"/>
      <c r="AQ17" s="211"/>
      <c r="AR17" s="206"/>
      <c r="AS17" s="206"/>
      <c r="AT17" s="206"/>
      <c r="AU17" s="206"/>
      <c r="AV17" s="206"/>
      <c r="AW17" s="206"/>
      <c r="AX17" s="206"/>
      <c r="AY17" s="45"/>
      <c r="AZ17" s="240"/>
      <c r="BA17" s="240"/>
      <c r="BB17" s="241"/>
      <c r="BC17" s="206"/>
      <c r="BD17" s="211"/>
      <c r="BE17" s="206"/>
      <c r="BF17" s="206"/>
      <c r="BG17" s="211"/>
      <c r="BH17" s="206"/>
      <c r="BI17" s="206"/>
      <c r="BJ17" s="211"/>
      <c r="BK17" s="253"/>
    </row>
    <row r="18" spans="1:63" x14ac:dyDescent="0.2">
      <c r="A18" s="224">
        <v>922.65499999999997</v>
      </c>
      <c r="B18" s="203"/>
      <c r="C18" s="204"/>
      <c r="D18" s="212"/>
      <c r="E18" s="205"/>
      <c r="F18" s="205"/>
      <c r="G18" s="258"/>
      <c r="H18" s="208"/>
      <c r="I18" s="207"/>
      <c r="J18" s="207"/>
      <c r="K18" s="206"/>
      <c r="L18" s="207"/>
      <c r="M18" s="208"/>
      <c r="N18" s="208"/>
      <c r="O18" s="206"/>
      <c r="P18" s="207"/>
      <c r="Q18" s="209"/>
      <c r="R18" s="208"/>
      <c r="S18" s="45"/>
      <c r="T18" s="209"/>
      <c r="U18" s="210"/>
      <c r="V18" s="210"/>
      <c r="W18" s="210"/>
      <c r="X18" s="206"/>
      <c r="Y18" s="208"/>
      <c r="Z18" s="207"/>
      <c r="AA18" s="207"/>
      <c r="AB18" s="206"/>
      <c r="AC18" s="207"/>
      <c r="AD18" s="208"/>
      <c r="AE18" s="208"/>
      <c r="AF18" s="206"/>
      <c r="AG18" s="211"/>
      <c r="AH18" s="207"/>
      <c r="AI18" s="225"/>
      <c r="AK18" s="252">
        <v>922.65499999999997</v>
      </c>
      <c r="AL18" s="45"/>
      <c r="AM18" s="204"/>
      <c r="AN18" s="204"/>
      <c r="AO18" s="204"/>
      <c r="AP18" s="206"/>
      <c r="AQ18" s="211"/>
      <c r="AR18" s="206"/>
      <c r="AS18" s="206"/>
      <c r="AT18" s="206"/>
      <c r="AU18" s="206"/>
      <c r="AV18" s="206"/>
      <c r="AW18" s="206"/>
      <c r="AX18" s="206"/>
      <c r="AY18" s="45"/>
      <c r="AZ18" s="240"/>
      <c r="BA18" s="240"/>
      <c r="BB18" s="241"/>
      <c r="BC18" s="206"/>
      <c r="BD18" s="211"/>
      <c r="BE18" s="206"/>
      <c r="BF18" s="206"/>
      <c r="BG18" s="211"/>
      <c r="BH18" s="206"/>
      <c r="BI18" s="206"/>
      <c r="BJ18" s="211"/>
      <c r="BK18" s="253"/>
    </row>
    <row r="19" spans="1:63" x14ac:dyDescent="0.2">
      <c r="A19" s="224">
        <v>923.745</v>
      </c>
      <c r="B19" s="203"/>
      <c r="C19" s="204"/>
      <c r="D19" s="212"/>
      <c r="E19" s="205"/>
      <c r="F19" s="205"/>
      <c r="G19" s="258"/>
      <c r="H19" s="208"/>
      <c r="I19" s="207"/>
      <c r="J19" s="207"/>
      <c r="K19" s="206"/>
      <c r="L19" s="207"/>
      <c r="M19" s="208"/>
      <c r="N19" s="208"/>
      <c r="O19" s="206"/>
      <c r="P19" s="207"/>
      <c r="Q19" s="209"/>
      <c r="R19" s="208"/>
      <c r="S19" s="45"/>
      <c r="T19" s="209"/>
      <c r="U19" s="210"/>
      <c r="V19" s="210"/>
      <c r="W19" s="210"/>
      <c r="X19" s="206"/>
      <c r="Y19" s="208"/>
      <c r="Z19" s="207"/>
      <c r="AA19" s="207"/>
      <c r="AB19" s="206"/>
      <c r="AC19" s="207"/>
      <c r="AD19" s="208"/>
      <c r="AE19" s="208"/>
      <c r="AF19" s="206"/>
      <c r="AG19" s="211"/>
      <c r="AH19" s="207"/>
      <c r="AI19" s="225"/>
      <c r="AK19" s="252">
        <v>923.745</v>
      </c>
      <c r="AL19" s="45"/>
      <c r="AM19" s="204"/>
      <c r="AN19" s="204"/>
      <c r="AO19" s="204"/>
      <c r="AP19" s="206"/>
      <c r="AQ19" s="211"/>
      <c r="AR19" s="206"/>
      <c r="AS19" s="206"/>
      <c r="AT19" s="206"/>
      <c r="AU19" s="206"/>
      <c r="AV19" s="206"/>
      <c r="AW19" s="206"/>
      <c r="AX19" s="206"/>
      <c r="AY19" s="45"/>
      <c r="AZ19" s="240"/>
      <c r="BA19" s="240"/>
      <c r="BB19" s="241"/>
      <c r="BC19" s="206"/>
      <c r="BD19" s="211"/>
      <c r="BE19" s="206"/>
      <c r="BF19" s="206"/>
      <c r="BG19" s="211"/>
      <c r="BH19" s="206"/>
      <c r="BI19" s="206"/>
      <c r="BJ19" s="211"/>
      <c r="BK19" s="253"/>
    </row>
    <row r="20" spans="1:63" x14ac:dyDescent="0.2">
      <c r="A20" s="224">
        <v>924.14499999999998</v>
      </c>
      <c r="B20" s="203"/>
      <c r="C20" s="204"/>
      <c r="D20" s="212"/>
      <c r="E20" s="205"/>
      <c r="F20" s="205"/>
      <c r="G20" s="258"/>
      <c r="H20" s="208"/>
      <c r="I20" s="207"/>
      <c r="J20" s="207"/>
      <c r="K20" s="206"/>
      <c r="L20" s="207"/>
      <c r="M20" s="208"/>
      <c r="N20" s="208"/>
      <c r="O20" s="206"/>
      <c r="P20" s="207"/>
      <c r="Q20" s="209"/>
      <c r="R20" s="208"/>
      <c r="S20" s="45"/>
      <c r="T20" s="209"/>
      <c r="U20" s="210"/>
      <c r="V20" s="210"/>
      <c r="W20" s="210"/>
      <c r="X20" s="206"/>
      <c r="Y20" s="208"/>
      <c r="Z20" s="207"/>
      <c r="AA20" s="207"/>
      <c r="AB20" s="206"/>
      <c r="AC20" s="207"/>
      <c r="AD20" s="208"/>
      <c r="AE20" s="208"/>
      <c r="AF20" s="206"/>
      <c r="AG20" s="211"/>
      <c r="AH20" s="207"/>
      <c r="AI20" s="225"/>
      <c r="AK20" s="252">
        <v>924.14499999999998</v>
      </c>
      <c r="AL20" s="45"/>
      <c r="AM20" s="204"/>
      <c r="AN20" s="204"/>
      <c r="AO20" s="204"/>
      <c r="AP20" s="206"/>
      <c r="AQ20" s="211"/>
      <c r="AR20" s="206"/>
      <c r="AS20" s="206"/>
      <c r="AT20" s="206"/>
      <c r="AU20" s="206"/>
      <c r="AV20" s="206"/>
      <c r="AW20" s="206"/>
      <c r="AX20" s="206"/>
      <c r="AY20" s="45"/>
      <c r="AZ20" s="240"/>
      <c r="BA20" s="240"/>
      <c r="BB20" s="241"/>
      <c r="BC20" s="206"/>
      <c r="BD20" s="211"/>
      <c r="BE20" s="206"/>
      <c r="BF20" s="206"/>
      <c r="BG20" s="211"/>
      <c r="BH20" s="206"/>
      <c r="BI20" s="206"/>
      <c r="BJ20" s="211"/>
      <c r="BK20" s="253"/>
    </row>
    <row r="21" spans="1:63" x14ac:dyDescent="0.2">
      <c r="A21" s="224">
        <v>924.34500000000003</v>
      </c>
      <c r="B21" s="203"/>
      <c r="C21" s="204"/>
      <c r="D21" s="212"/>
      <c r="E21" s="205"/>
      <c r="F21" s="205"/>
      <c r="G21" s="258"/>
      <c r="H21" s="208"/>
      <c r="I21" s="207"/>
      <c r="J21" s="207"/>
      <c r="K21" s="206"/>
      <c r="L21" s="207"/>
      <c r="M21" s="208"/>
      <c r="N21" s="208"/>
      <c r="O21" s="206"/>
      <c r="P21" s="207"/>
      <c r="Q21" s="209"/>
      <c r="R21" s="208"/>
      <c r="S21" s="45"/>
      <c r="T21" s="209"/>
      <c r="U21" s="210"/>
      <c r="V21" s="210"/>
      <c r="W21" s="210"/>
      <c r="X21" s="206"/>
      <c r="Y21" s="208"/>
      <c r="Z21" s="207"/>
      <c r="AA21" s="207"/>
      <c r="AB21" s="206"/>
      <c r="AC21" s="207"/>
      <c r="AD21" s="208"/>
      <c r="AE21" s="208"/>
      <c r="AF21" s="206"/>
      <c r="AG21" s="211"/>
      <c r="AH21" s="207"/>
      <c r="AI21" s="225"/>
      <c r="AK21" s="252">
        <v>924.34500000000003</v>
      </c>
      <c r="AL21" s="45"/>
      <c r="AM21" s="204"/>
      <c r="AN21" s="204"/>
      <c r="AO21" s="204"/>
      <c r="AP21" s="206"/>
      <c r="AQ21" s="211"/>
      <c r="AR21" s="206"/>
      <c r="AS21" s="206"/>
      <c r="AT21" s="206"/>
      <c r="AU21" s="206"/>
      <c r="AV21" s="206"/>
      <c r="AW21" s="206"/>
      <c r="AX21" s="206"/>
      <c r="AY21" s="45"/>
      <c r="AZ21" s="240"/>
      <c r="BA21" s="240"/>
      <c r="BB21" s="241"/>
      <c r="BC21" s="206"/>
      <c r="BD21" s="211"/>
      <c r="BE21" s="206"/>
      <c r="BF21" s="206"/>
      <c r="BG21" s="211"/>
      <c r="BH21" s="206"/>
      <c r="BI21" s="206"/>
      <c r="BJ21" s="211"/>
      <c r="BK21" s="253"/>
    </row>
    <row r="22" spans="1:63" x14ac:dyDescent="0.2">
      <c r="A22" s="224">
        <v>924.39499999999998</v>
      </c>
      <c r="B22" s="203"/>
      <c r="C22" s="204">
        <v>1355</v>
      </c>
      <c r="D22" s="212"/>
      <c r="E22" s="205">
        <v>576</v>
      </c>
      <c r="F22" s="205">
        <v>2134</v>
      </c>
      <c r="G22" s="258">
        <v>18.100000000000001</v>
      </c>
      <c r="H22" s="208"/>
      <c r="I22" s="207">
        <v>10.5</v>
      </c>
      <c r="J22" s="207">
        <v>25.7</v>
      </c>
      <c r="K22" s="206">
        <v>14.05</v>
      </c>
      <c r="L22" s="207"/>
      <c r="M22" s="208">
        <v>5.0999999999999996</v>
      </c>
      <c r="N22" s="208">
        <v>23</v>
      </c>
      <c r="O22" s="206">
        <v>20.55</v>
      </c>
      <c r="P22" s="207"/>
      <c r="Q22" s="209">
        <v>13.2</v>
      </c>
      <c r="R22" s="208">
        <v>27.9</v>
      </c>
      <c r="S22" s="45"/>
      <c r="T22" s="209">
        <v>1603</v>
      </c>
      <c r="U22" s="209">
        <v>1603</v>
      </c>
      <c r="V22" s="210">
        <v>1223</v>
      </c>
      <c r="W22" s="210">
        <v>1983</v>
      </c>
      <c r="X22" s="206">
        <v>10.65</v>
      </c>
      <c r="Y22" s="208">
        <v>10.65</v>
      </c>
      <c r="Z22" s="207">
        <v>10.5</v>
      </c>
      <c r="AA22" s="207">
        <v>10.8</v>
      </c>
      <c r="AB22" s="206">
        <v>6</v>
      </c>
      <c r="AC22" s="207">
        <v>6</v>
      </c>
      <c r="AD22" s="208">
        <v>5.0999999999999996</v>
      </c>
      <c r="AE22" s="208">
        <v>6.9</v>
      </c>
      <c r="AF22" s="206">
        <v>14.95</v>
      </c>
      <c r="AG22" s="211">
        <v>14.95</v>
      </c>
      <c r="AH22" s="207">
        <v>14.7</v>
      </c>
      <c r="AI22" s="225">
        <v>15.2</v>
      </c>
      <c r="AK22" s="252">
        <v>924.39499999999998</v>
      </c>
      <c r="AL22" s="45"/>
      <c r="AM22" s="204">
        <v>1650.2</v>
      </c>
      <c r="AN22" s="204"/>
      <c r="AO22" s="204">
        <v>1074.2</v>
      </c>
      <c r="AP22" s="206">
        <v>17.97</v>
      </c>
      <c r="AQ22" s="211"/>
      <c r="AR22" s="206">
        <v>7.73</v>
      </c>
      <c r="AS22" s="206">
        <v>13.9</v>
      </c>
      <c r="AT22" s="206"/>
      <c r="AU22" s="206">
        <v>9.1</v>
      </c>
      <c r="AV22" s="206">
        <v>20.55</v>
      </c>
      <c r="AW22" s="206"/>
      <c r="AX22" s="206">
        <v>7.35</v>
      </c>
      <c r="AY22" s="45"/>
      <c r="AZ22" s="240">
        <v>1577</v>
      </c>
      <c r="BA22" s="240">
        <v>1577</v>
      </c>
      <c r="BB22" s="241">
        <v>526.79999999999995</v>
      </c>
      <c r="BC22" s="206">
        <v>11.05</v>
      </c>
      <c r="BD22" s="211">
        <v>11.05</v>
      </c>
      <c r="BE22" s="206">
        <v>1.1100000000000001</v>
      </c>
      <c r="BF22" s="206">
        <v>5.92</v>
      </c>
      <c r="BG22" s="211">
        <v>5.92</v>
      </c>
      <c r="BH22" s="206">
        <v>1.1399999999999999</v>
      </c>
      <c r="BI22" s="206">
        <v>17.8</v>
      </c>
      <c r="BJ22" s="211">
        <v>17.8</v>
      </c>
      <c r="BK22" s="253">
        <v>2.9</v>
      </c>
    </row>
    <row r="23" spans="1:63" x14ac:dyDescent="0.2">
      <c r="A23" s="224">
        <v>925.19500000000005</v>
      </c>
      <c r="B23" s="203"/>
      <c r="C23" s="204"/>
      <c r="D23" s="212"/>
      <c r="E23" s="205"/>
      <c r="F23" s="205"/>
      <c r="G23" s="258"/>
      <c r="H23" s="208"/>
      <c r="I23" s="207"/>
      <c r="J23" s="207"/>
      <c r="K23" s="206"/>
      <c r="L23" s="207"/>
      <c r="M23" s="208"/>
      <c r="N23" s="208"/>
      <c r="O23" s="206"/>
      <c r="P23" s="207"/>
      <c r="Q23" s="209"/>
      <c r="R23" s="208"/>
      <c r="S23" s="45"/>
      <c r="T23" s="209"/>
      <c r="U23" s="209"/>
      <c r="V23" s="210"/>
      <c r="W23" s="210"/>
      <c r="X23" s="206"/>
      <c r="Y23" s="208"/>
      <c r="Z23" s="207"/>
      <c r="AA23" s="207"/>
      <c r="AB23" s="206"/>
      <c r="AC23" s="207"/>
      <c r="AD23" s="208"/>
      <c r="AE23" s="208"/>
      <c r="AF23" s="206"/>
      <c r="AG23" s="211"/>
      <c r="AH23" s="207"/>
      <c r="AI23" s="225"/>
      <c r="AK23" s="252">
        <v>925.19500000000005</v>
      </c>
      <c r="AL23" s="45"/>
      <c r="AM23" s="204"/>
      <c r="AN23" s="204"/>
      <c r="AO23" s="204"/>
      <c r="AP23" s="206"/>
      <c r="AQ23" s="211"/>
      <c r="AR23" s="206"/>
      <c r="AS23" s="206"/>
      <c r="AT23" s="206"/>
      <c r="AU23" s="206"/>
      <c r="AV23" s="206"/>
      <c r="AW23" s="206"/>
      <c r="AX23" s="206"/>
      <c r="AY23" s="45"/>
      <c r="AZ23" s="240"/>
      <c r="BA23" s="240"/>
      <c r="BB23" s="241"/>
      <c r="BC23" s="206"/>
      <c r="BD23" s="211"/>
      <c r="BE23" s="206"/>
      <c r="BF23" s="206"/>
      <c r="BG23" s="211"/>
      <c r="BH23" s="206"/>
      <c r="BI23" s="206"/>
      <c r="BJ23" s="211"/>
      <c r="BK23" s="253"/>
    </row>
    <row r="24" spans="1:63" x14ac:dyDescent="0.2">
      <c r="A24" s="224">
        <v>929.43499999999995</v>
      </c>
      <c r="B24" s="203"/>
      <c r="C24" s="204">
        <v>1358.5</v>
      </c>
      <c r="D24" s="212"/>
      <c r="E24" s="205">
        <v>583</v>
      </c>
      <c r="F24" s="205">
        <v>2134</v>
      </c>
      <c r="G24" s="258">
        <v>19.3</v>
      </c>
      <c r="H24" s="208"/>
      <c r="I24" s="207">
        <v>12.9</v>
      </c>
      <c r="J24" s="207">
        <v>25.7</v>
      </c>
      <c r="K24" s="206">
        <v>15</v>
      </c>
      <c r="L24" s="207"/>
      <c r="M24" s="208">
        <v>7</v>
      </c>
      <c r="N24" s="208">
        <v>23</v>
      </c>
      <c r="O24" s="206">
        <v>22.7</v>
      </c>
      <c r="P24" s="207"/>
      <c r="Q24" s="209">
        <v>17.5</v>
      </c>
      <c r="R24" s="208">
        <v>27.9</v>
      </c>
      <c r="S24" s="45"/>
      <c r="T24" s="209">
        <v>1603</v>
      </c>
      <c r="U24" s="209">
        <v>1603</v>
      </c>
      <c r="V24" s="210">
        <v>1223</v>
      </c>
      <c r="W24" s="210">
        <v>1983</v>
      </c>
      <c r="X24" s="206">
        <v>10.45</v>
      </c>
      <c r="Y24" s="208">
        <v>10.45</v>
      </c>
      <c r="Z24" s="207">
        <v>10.4</v>
      </c>
      <c r="AA24" s="207">
        <v>10.5</v>
      </c>
      <c r="AB24" s="206">
        <v>6</v>
      </c>
      <c r="AC24" s="207">
        <v>6</v>
      </c>
      <c r="AD24" s="208">
        <v>5.0999999999999996</v>
      </c>
      <c r="AE24" s="208">
        <v>6.9</v>
      </c>
      <c r="AF24" s="206">
        <v>14.8</v>
      </c>
      <c r="AG24" s="211">
        <v>14.8</v>
      </c>
      <c r="AH24" s="207">
        <v>14.4</v>
      </c>
      <c r="AI24" s="225">
        <v>15.2</v>
      </c>
      <c r="AK24" s="252">
        <v>929.43499999999995</v>
      </c>
      <c r="AL24" s="45"/>
      <c r="AM24" s="204">
        <v>1529.6</v>
      </c>
      <c r="AN24" s="204"/>
      <c r="AO24" s="204">
        <v>710</v>
      </c>
      <c r="AP24" s="206">
        <v>13.585000000000001</v>
      </c>
      <c r="AQ24" s="211"/>
      <c r="AR24" s="206">
        <v>1.405</v>
      </c>
      <c r="AS24" s="206">
        <v>9.08</v>
      </c>
      <c r="AT24" s="206"/>
      <c r="AU24" s="206">
        <v>2.65</v>
      </c>
      <c r="AV24" s="206">
        <v>17.329999999999998</v>
      </c>
      <c r="AW24" s="206"/>
      <c r="AX24" s="206">
        <v>1.1200000000000001</v>
      </c>
      <c r="AY24" s="45"/>
      <c r="AZ24" s="240">
        <v>1573.75</v>
      </c>
      <c r="BA24" s="240">
        <v>1573.75</v>
      </c>
      <c r="BB24" s="241">
        <v>545.15</v>
      </c>
      <c r="BC24" s="206">
        <v>10.315</v>
      </c>
      <c r="BD24" s="211">
        <v>10.315</v>
      </c>
      <c r="BE24" s="206">
        <v>0.44500000000000001</v>
      </c>
      <c r="BF24" s="206">
        <v>5.82</v>
      </c>
      <c r="BG24" s="211">
        <v>5.82</v>
      </c>
      <c r="BH24" s="206">
        <v>1.08</v>
      </c>
      <c r="BI24" s="206">
        <v>14.73</v>
      </c>
      <c r="BJ24" s="211">
        <v>14.73</v>
      </c>
      <c r="BK24" s="253">
        <v>-0.11999999999999922</v>
      </c>
    </row>
    <row r="25" spans="1:63" x14ac:dyDescent="0.2">
      <c r="A25" s="224">
        <v>929.83500000000004</v>
      </c>
      <c r="B25" s="203"/>
      <c r="C25" s="204">
        <v>1141.5</v>
      </c>
      <c r="D25" s="212"/>
      <c r="E25" s="205">
        <v>149</v>
      </c>
      <c r="F25" s="205">
        <v>2134</v>
      </c>
      <c r="G25" s="258">
        <v>18.899999999999999</v>
      </c>
      <c r="H25" s="208"/>
      <c r="I25" s="207">
        <v>10.5</v>
      </c>
      <c r="J25" s="207">
        <v>27.3</v>
      </c>
      <c r="K25" s="206">
        <v>14.8</v>
      </c>
      <c r="L25" s="207"/>
      <c r="M25" s="208">
        <v>5.0999999999999996</v>
      </c>
      <c r="N25" s="208">
        <v>24.5</v>
      </c>
      <c r="O25" s="206">
        <v>19.850000000000001</v>
      </c>
      <c r="P25" s="207"/>
      <c r="Q25" s="209">
        <v>10.4</v>
      </c>
      <c r="R25" s="208">
        <v>29.3</v>
      </c>
      <c r="S25" s="45"/>
      <c r="T25" s="209">
        <v>1603</v>
      </c>
      <c r="U25" s="209">
        <v>1603</v>
      </c>
      <c r="V25" s="210">
        <v>1223</v>
      </c>
      <c r="W25" s="210">
        <v>1983</v>
      </c>
      <c r="X25" s="206">
        <v>10.45</v>
      </c>
      <c r="Y25" s="208">
        <v>10.45</v>
      </c>
      <c r="Z25" s="207">
        <v>10.4</v>
      </c>
      <c r="AA25" s="207">
        <v>10.5</v>
      </c>
      <c r="AB25" s="206">
        <v>6</v>
      </c>
      <c r="AC25" s="207">
        <v>6</v>
      </c>
      <c r="AD25" s="208">
        <v>5.0999999999999996</v>
      </c>
      <c r="AE25" s="208">
        <v>6.9</v>
      </c>
      <c r="AF25" s="206">
        <v>14.8</v>
      </c>
      <c r="AG25" s="211">
        <v>14.8</v>
      </c>
      <c r="AH25" s="207">
        <v>14.4</v>
      </c>
      <c r="AI25" s="225">
        <v>15.2</v>
      </c>
      <c r="AK25" s="252">
        <v>929.83500000000004</v>
      </c>
      <c r="AL25" s="45"/>
      <c r="AM25" s="204">
        <v>1506.5</v>
      </c>
      <c r="AN25" s="204"/>
      <c r="AO25" s="204">
        <v>662.7</v>
      </c>
      <c r="AP25" s="206">
        <v>10.94</v>
      </c>
      <c r="AQ25" s="211"/>
      <c r="AR25" s="258">
        <v>1.1499999999999999</v>
      </c>
      <c r="AS25" s="258">
        <v>6.6050000000000004</v>
      </c>
      <c r="AT25" s="206"/>
      <c r="AU25" s="206">
        <v>2.0550000000000002</v>
      </c>
      <c r="AV25" s="206">
        <v>13.005000000000001</v>
      </c>
      <c r="AW25" s="206"/>
      <c r="AX25" s="206">
        <v>2.8849999999999998</v>
      </c>
      <c r="AY25" s="45"/>
      <c r="AZ25" s="240">
        <v>1570.5</v>
      </c>
      <c r="BA25" s="240">
        <v>1570.5</v>
      </c>
      <c r="BB25" s="241">
        <v>563.5</v>
      </c>
      <c r="BC25" s="206">
        <v>10.3</v>
      </c>
      <c r="BD25" s="211">
        <v>10.3</v>
      </c>
      <c r="BE25" s="206">
        <v>0.5</v>
      </c>
      <c r="BF25" s="206">
        <v>5.8</v>
      </c>
      <c r="BG25" s="211">
        <v>5.8</v>
      </c>
      <c r="BH25" s="206">
        <v>1.1000000000000001</v>
      </c>
      <c r="BI25" s="206">
        <v>14.72</v>
      </c>
      <c r="BJ25" s="211">
        <v>14.72</v>
      </c>
      <c r="BK25" s="253">
        <v>-8.0000000000000071E-2</v>
      </c>
    </row>
    <row r="26" spans="1:63" x14ac:dyDescent="0.2">
      <c r="A26" s="224">
        <v>930.26499999999999</v>
      </c>
      <c r="B26" s="607" t="s">
        <v>602</v>
      </c>
      <c r="C26" s="608"/>
      <c r="D26" s="609"/>
      <c r="E26" s="610"/>
      <c r="F26" s="610"/>
      <c r="G26" s="611"/>
      <c r="H26" s="612"/>
      <c r="I26" s="613"/>
      <c r="J26" s="613"/>
      <c r="K26" s="614"/>
      <c r="L26" s="612"/>
      <c r="M26" s="612"/>
      <c r="N26" s="612"/>
      <c r="O26" s="614"/>
      <c r="P26" s="612"/>
      <c r="Q26" s="615"/>
      <c r="R26" s="612"/>
      <c r="S26" s="616"/>
      <c r="T26" s="615"/>
      <c r="U26" s="615"/>
      <c r="V26" s="610"/>
      <c r="W26" s="610"/>
      <c r="X26" s="611"/>
      <c r="Y26" s="612"/>
      <c r="Z26" s="612"/>
      <c r="AA26" s="612"/>
      <c r="AB26" s="614"/>
      <c r="AC26" s="612"/>
      <c r="AD26" s="612"/>
      <c r="AE26" s="612"/>
      <c r="AF26" s="614"/>
      <c r="AG26" s="614"/>
      <c r="AH26" s="612"/>
      <c r="AI26" s="617"/>
      <c r="AJ26" s="618"/>
      <c r="AK26" s="619">
        <v>930.26499999999999</v>
      </c>
      <c r="AL26" s="616"/>
      <c r="AM26" s="608"/>
      <c r="AN26" s="608"/>
      <c r="AO26" s="608"/>
      <c r="AP26" s="611"/>
      <c r="AQ26" s="614"/>
      <c r="AR26" s="611"/>
      <c r="AS26" s="611"/>
      <c r="AT26" s="614"/>
      <c r="AU26" s="614"/>
      <c r="AV26" s="614"/>
      <c r="AW26" s="614"/>
      <c r="AX26" s="614"/>
      <c r="AY26" s="616"/>
      <c r="AZ26" s="615"/>
      <c r="BA26" s="615"/>
      <c r="BB26" s="608"/>
      <c r="BC26" s="611"/>
      <c r="BD26" s="611"/>
      <c r="BE26" s="611"/>
      <c r="BF26" s="611"/>
      <c r="BG26" s="614"/>
      <c r="BH26" s="614"/>
      <c r="BI26" s="614"/>
      <c r="BJ26" s="614"/>
      <c r="BK26" s="620"/>
    </row>
    <row r="27" spans="1:63" x14ac:dyDescent="0.2">
      <c r="A27" s="224">
        <v>930.63499999999999</v>
      </c>
      <c r="B27" s="607" t="s">
        <v>602</v>
      </c>
      <c r="C27" s="608">
        <v>1105.5</v>
      </c>
      <c r="D27" s="608">
        <v>1105.5</v>
      </c>
      <c r="E27" s="610">
        <v>576</v>
      </c>
      <c r="F27" s="610">
        <v>1635</v>
      </c>
      <c r="G27" s="611">
        <v>17.8</v>
      </c>
      <c r="H27" s="614">
        <v>17.8</v>
      </c>
      <c r="I27" s="613">
        <v>14.4</v>
      </c>
      <c r="J27" s="613">
        <v>21.2</v>
      </c>
      <c r="K27" s="614">
        <v>12.1</v>
      </c>
      <c r="L27" s="614">
        <v>12.1</v>
      </c>
      <c r="M27" s="612">
        <v>7.8</v>
      </c>
      <c r="N27" s="612">
        <v>16.399999999999999</v>
      </c>
      <c r="O27" s="614">
        <v>22.75</v>
      </c>
      <c r="P27" s="614">
        <v>22.75</v>
      </c>
      <c r="Q27" s="615">
        <v>17.600000000000001</v>
      </c>
      <c r="R27" s="612">
        <v>27.9</v>
      </c>
      <c r="S27" s="616"/>
      <c r="T27" s="615">
        <v>1678.5</v>
      </c>
      <c r="U27" s="615">
        <v>1678.5</v>
      </c>
      <c r="V27" s="610">
        <v>1223</v>
      </c>
      <c r="W27" s="610">
        <v>2134</v>
      </c>
      <c r="X27" s="611">
        <v>10.45</v>
      </c>
      <c r="Y27" s="612">
        <v>10.45</v>
      </c>
      <c r="Z27" s="613">
        <v>10.4</v>
      </c>
      <c r="AA27" s="613">
        <v>10.5</v>
      </c>
      <c r="AB27" s="614">
        <v>6</v>
      </c>
      <c r="AC27" s="612">
        <v>6</v>
      </c>
      <c r="AD27" s="612">
        <v>5.0999999999999996</v>
      </c>
      <c r="AE27" s="612">
        <v>6.9</v>
      </c>
      <c r="AF27" s="614">
        <v>14.8</v>
      </c>
      <c r="AG27" s="614">
        <v>14.8</v>
      </c>
      <c r="AH27" s="612">
        <v>14.4</v>
      </c>
      <c r="AI27" s="617">
        <v>15.2</v>
      </c>
      <c r="AJ27" s="618"/>
      <c r="AK27" s="619">
        <v>930.63499999999999</v>
      </c>
      <c r="AL27" s="616"/>
      <c r="AM27" s="608">
        <v>1308.8</v>
      </c>
      <c r="AN27" s="608">
        <v>1308.8</v>
      </c>
      <c r="AO27" s="608">
        <v>525.79999999999995</v>
      </c>
      <c r="AP27" s="611">
        <v>14.125</v>
      </c>
      <c r="AQ27" s="614">
        <v>14.125</v>
      </c>
      <c r="AR27" s="611">
        <v>1.675</v>
      </c>
      <c r="AS27" s="611">
        <v>9.0500000000000007</v>
      </c>
      <c r="AT27" s="614">
        <v>9.0500000000000007</v>
      </c>
      <c r="AU27" s="614">
        <v>2.6</v>
      </c>
      <c r="AV27" s="614">
        <v>18.274999999999999</v>
      </c>
      <c r="AW27" s="614">
        <v>18.274999999999999</v>
      </c>
      <c r="AX27" s="614">
        <v>2.875</v>
      </c>
      <c r="AY27" s="616"/>
      <c r="AZ27" s="615">
        <v>1708.95</v>
      </c>
      <c r="BA27" s="615">
        <v>1708.95</v>
      </c>
      <c r="BB27" s="608">
        <v>671.45</v>
      </c>
      <c r="BC27" s="611">
        <v>8.61</v>
      </c>
      <c r="BD27" s="611">
        <v>8.61</v>
      </c>
      <c r="BE27" s="611">
        <v>2.11</v>
      </c>
      <c r="BF27" s="611">
        <v>4.68</v>
      </c>
      <c r="BG27" s="614">
        <v>4.68</v>
      </c>
      <c r="BH27" s="614">
        <v>2.2200000000000002</v>
      </c>
      <c r="BI27" s="614">
        <v>13.45</v>
      </c>
      <c r="BJ27" s="614">
        <v>13.45</v>
      </c>
      <c r="BK27" s="620">
        <v>1.1299999999999999</v>
      </c>
    </row>
    <row r="28" spans="1:63" x14ac:dyDescent="0.2">
      <c r="A28" s="224">
        <v>930.89</v>
      </c>
      <c r="B28" s="607" t="s">
        <v>602</v>
      </c>
      <c r="C28" s="608">
        <v>1220</v>
      </c>
      <c r="D28" s="609"/>
      <c r="E28" s="610">
        <v>576</v>
      </c>
      <c r="F28" s="610">
        <v>1864</v>
      </c>
      <c r="G28" s="611">
        <v>17.2</v>
      </c>
      <c r="H28" s="612"/>
      <c r="I28" s="613">
        <v>10.5</v>
      </c>
      <c r="J28" s="613">
        <v>23.9</v>
      </c>
      <c r="K28" s="614">
        <v>12.25</v>
      </c>
      <c r="L28" s="612"/>
      <c r="M28" s="612">
        <v>5.0999999999999996</v>
      </c>
      <c r="N28" s="612">
        <v>19.399999999999999</v>
      </c>
      <c r="O28" s="614">
        <v>22.1</v>
      </c>
      <c r="P28" s="612"/>
      <c r="Q28" s="615">
        <v>16.3</v>
      </c>
      <c r="R28" s="612">
        <v>27.9</v>
      </c>
      <c r="S28" s="616"/>
      <c r="T28" s="615">
        <v>1603</v>
      </c>
      <c r="U28" s="615">
        <v>1603</v>
      </c>
      <c r="V28" s="610">
        <v>1223</v>
      </c>
      <c r="W28" s="610">
        <v>1983</v>
      </c>
      <c r="X28" s="611">
        <v>10.45</v>
      </c>
      <c r="Y28" s="612">
        <v>10.45</v>
      </c>
      <c r="Z28" s="613">
        <v>10.4</v>
      </c>
      <c r="AA28" s="613">
        <v>10.5</v>
      </c>
      <c r="AB28" s="614">
        <v>6</v>
      </c>
      <c r="AC28" s="612">
        <v>6</v>
      </c>
      <c r="AD28" s="612">
        <v>5.0999999999999996</v>
      </c>
      <c r="AE28" s="612">
        <v>6.9</v>
      </c>
      <c r="AF28" s="614">
        <v>14.8</v>
      </c>
      <c r="AG28" s="614">
        <v>14.8</v>
      </c>
      <c r="AH28" s="612">
        <v>14.4</v>
      </c>
      <c r="AI28" s="617">
        <v>15.2</v>
      </c>
      <c r="AJ28" s="618"/>
      <c r="AK28" s="619">
        <v>930.89</v>
      </c>
      <c r="AL28" s="616"/>
      <c r="AM28" s="608">
        <v>1381.25</v>
      </c>
      <c r="AN28" s="608"/>
      <c r="AO28" s="608">
        <v>563.75</v>
      </c>
      <c r="AP28" s="611">
        <v>12.28</v>
      </c>
      <c r="AQ28" s="614"/>
      <c r="AR28" s="611">
        <v>2.17</v>
      </c>
      <c r="AS28" s="611">
        <v>7.65</v>
      </c>
      <c r="AT28" s="614"/>
      <c r="AU28" s="614">
        <v>3</v>
      </c>
      <c r="AV28" s="614">
        <v>16.91</v>
      </c>
      <c r="AW28" s="614"/>
      <c r="AX28" s="614">
        <v>1.54</v>
      </c>
      <c r="AY28" s="616"/>
      <c r="AZ28" s="615">
        <v>1573.75</v>
      </c>
      <c r="BA28" s="615">
        <v>1573.75</v>
      </c>
      <c r="BB28" s="608">
        <v>545.15</v>
      </c>
      <c r="BC28" s="611">
        <v>10.315</v>
      </c>
      <c r="BD28" s="611">
        <v>10.315</v>
      </c>
      <c r="BE28" s="611">
        <v>0.44500000000000001</v>
      </c>
      <c r="BF28" s="611">
        <v>5.82</v>
      </c>
      <c r="BG28" s="614">
        <v>5.82</v>
      </c>
      <c r="BH28" s="614">
        <v>1.08</v>
      </c>
      <c r="BI28" s="614">
        <v>14.73</v>
      </c>
      <c r="BJ28" s="614">
        <v>14.73</v>
      </c>
      <c r="BK28" s="620">
        <v>-0.11999999999999922</v>
      </c>
    </row>
    <row r="29" spans="1:63" x14ac:dyDescent="0.2">
      <c r="A29" s="224">
        <v>931.29</v>
      </c>
      <c r="B29" s="607" t="s">
        <v>602</v>
      </c>
      <c r="C29" s="608">
        <v>1355</v>
      </c>
      <c r="D29" s="609"/>
      <c r="E29" s="610">
        <v>576</v>
      </c>
      <c r="F29" s="610">
        <v>2134</v>
      </c>
      <c r="G29" s="611">
        <v>18.100000000000001</v>
      </c>
      <c r="H29" s="612"/>
      <c r="I29" s="613">
        <v>10.5</v>
      </c>
      <c r="J29" s="613">
        <v>25.7</v>
      </c>
      <c r="K29" s="614">
        <v>14.05</v>
      </c>
      <c r="L29" s="612"/>
      <c r="M29" s="612">
        <v>5.0999999999999996</v>
      </c>
      <c r="N29" s="612">
        <v>23</v>
      </c>
      <c r="O29" s="614">
        <v>20.55</v>
      </c>
      <c r="P29" s="612"/>
      <c r="Q29" s="615">
        <v>13.2</v>
      </c>
      <c r="R29" s="612">
        <v>27.9</v>
      </c>
      <c r="S29" s="616"/>
      <c r="T29" s="615">
        <v>1603</v>
      </c>
      <c r="U29" s="615">
        <v>1603</v>
      </c>
      <c r="V29" s="610">
        <v>1223</v>
      </c>
      <c r="W29" s="610">
        <v>1983</v>
      </c>
      <c r="X29" s="611">
        <v>10.45</v>
      </c>
      <c r="Y29" s="612">
        <v>10.45</v>
      </c>
      <c r="Z29" s="613">
        <v>10.4</v>
      </c>
      <c r="AA29" s="613">
        <v>10.5</v>
      </c>
      <c r="AB29" s="614">
        <v>6</v>
      </c>
      <c r="AC29" s="612">
        <v>6</v>
      </c>
      <c r="AD29" s="612">
        <v>5.0999999999999996</v>
      </c>
      <c r="AE29" s="612">
        <v>6.9</v>
      </c>
      <c r="AF29" s="614">
        <v>14.8</v>
      </c>
      <c r="AG29" s="614">
        <v>14.8</v>
      </c>
      <c r="AH29" s="612">
        <v>14.4</v>
      </c>
      <c r="AI29" s="617">
        <v>15.2</v>
      </c>
      <c r="AJ29" s="618"/>
      <c r="AK29" s="619">
        <v>931.29</v>
      </c>
      <c r="AL29" s="616"/>
      <c r="AM29" s="608">
        <v>1528.55</v>
      </c>
      <c r="AN29" s="608"/>
      <c r="AO29" s="608">
        <v>711.05</v>
      </c>
      <c r="AP29" s="611">
        <v>12.55</v>
      </c>
      <c r="AQ29" s="614"/>
      <c r="AR29" s="611">
        <v>2.44</v>
      </c>
      <c r="AS29" s="611">
        <v>8.19</v>
      </c>
      <c r="AT29" s="614"/>
      <c r="AU29" s="614">
        <v>3.54</v>
      </c>
      <c r="AV29" s="614">
        <v>15.824999999999999</v>
      </c>
      <c r="AW29" s="614"/>
      <c r="AX29" s="614">
        <v>2.625</v>
      </c>
      <c r="AY29" s="616"/>
      <c r="AZ29" s="615">
        <v>1585.65</v>
      </c>
      <c r="BA29" s="615">
        <v>1585.65</v>
      </c>
      <c r="BB29" s="608">
        <v>583.54999999999995</v>
      </c>
      <c r="BC29" s="611">
        <v>10.17</v>
      </c>
      <c r="BD29" s="611">
        <v>10.17</v>
      </c>
      <c r="BE29" s="611">
        <v>0.79999999999999893</v>
      </c>
      <c r="BF29" s="611">
        <v>5.665</v>
      </c>
      <c r="BG29" s="614">
        <v>5.665</v>
      </c>
      <c r="BH29" s="614">
        <v>1.2549999999999999</v>
      </c>
      <c r="BI29" s="614">
        <v>14.71</v>
      </c>
      <c r="BJ29" s="614">
        <v>14.71</v>
      </c>
      <c r="BK29" s="620">
        <v>-3.9999999999999147E-2</v>
      </c>
    </row>
    <row r="30" spans="1:63" x14ac:dyDescent="0.2">
      <c r="A30" s="224">
        <v>932.09</v>
      </c>
      <c r="B30" s="607" t="s">
        <v>602</v>
      </c>
      <c r="C30" s="608">
        <v>1636.5</v>
      </c>
      <c r="D30" s="609"/>
      <c r="E30" s="610">
        <v>1139</v>
      </c>
      <c r="F30" s="610">
        <v>2134</v>
      </c>
      <c r="G30" s="611">
        <v>17.55</v>
      </c>
      <c r="H30" s="612"/>
      <c r="I30" s="613">
        <v>10.5</v>
      </c>
      <c r="J30" s="613">
        <v>24.6</v>
      </c>
      <c r="K30" s="614">
        <v>14.2</v>
      </c>
      <c r="L30" s="612"/>
      <c r="M30" s="612">
        <v>7</v>
      </c>
      <c r="N30" s="612">
        <v>21.4</v>
      </c>
      <c r="O30" s="614">
        <v>23.5</v>
      </c>
      <c r="P30" s="612"/>
      <c r="Q30" s="615">
        <v>19.8</v>
      </c>
      <c r="R30" s="612">
        <v>27.2</v>
      </c>
      <c r="S30" s="616"/>
      <c r="T30" s="615">
        <v>1678.5</v>
      </c>
      <c r="U30" s="615">
        <v>1678.5</v>
      </c>
      <c r="V30" s="610">
        <v>1223</v>
      </c>
      <c r="W30" s="610">
        <v>2134</v>
      </c>
      <c r="X30" s="611">
        <v>10.45</v>
      </c>
      <c r="Y30" s="612">
        <v>10.45</v>
      </c>
      <c r="Z30" s="613">
        <v>10.4</v>
      </c>
      <c r="AA30" s="613">
        <v>10.5</v>
      </c>
      <c r="AB30" s="614">
        <v>6</v>
      </c>
      <c r="AC30" s="612">
        <v>6</v>
      </c>
      <c r="AD30" s="612">
        <v>5.0999999999999996</v>
      </c>
      <c r="AE30" s="612">
        <v>6.9</v>
      </c>
      <c r="AF30" s="614">
        <v>14.8</v>
      </c>
      <c r="AG30" s="614">
        <v>14.8</v>
      </c>
      <c r="AH30" s="612">
        <v>14.4</v>
      </c>
      <c r="AI30" s="617">
        <v>15.2</v>
      </c>
      <c r="AJ30" s="618"/>
      <c r="AK30" s="619">
        <v>932.09</v>
      </c>
      <c r="AL30" s="616"/>
      <c r="AM30" s="608">
        <v>1656.6</v>
      </c>
      <c r="AN30" s="608"/>
      <c r="AO30" s="608">
        <v>583</v>
      </c>
      <c r="AP30" s="611">
        <v>12.565</v>
      </c>
      <c r="AQ30" s="614"/>
      <c r="AR30" s="611">
        <v>2.0950000000000002</v>
      </c>
      <c r="AS30" s="611">
        <v>8.84</v>
      </c>
      <c r="AT30" s="614"/>
      <c r="AU30" s="614">
        <v>2.41</v>
      </c>
      <c r="AV30" s="614">
        <v>18.03</v>
      </c>
      <c r="AW30" s="614"/>
      <c r="AX30" s="614">
        <v>0.21000000000000085</v>
      </c>
      <c r="AY30" s="616"/>
      <c r="AZ30" s="615">
        <v>1732.9</v>
      </c>
      <c r="BA30" s="615">
        <v>1732.9</v>
      </c>
      <c r="BB30" s="608">
        <v>682.7</v>
      </c>
      <c r="BC30" s="611">
        <v>8.61</v>
      </c>
      <c r="BD30" s="611">
        <v>8.61</v>
      </c>
      <c r="BE30" s="611">
        <v>2.11</v>
      </c>
      <c r="BF30" s="611">
        <v>4.68</v>
      </c>
      <c r="BG30" s="614">
        <v>4.68</v>
      </c>
      <c r="BH30" s="614">
        <v>2.2200000000000002</v>
      </c>
      <c r="BI30" s="614">
        <v>13.45</v>
      </c>
      <c r="BJ30" s="614">
        <v>13.45</v>
      </c>
      <c r="BK30" s="620">
        <v>1.1299999999999999</v>
      </c>
    </row>
    <row r="31" spans="1:63" x14ac:dyDescent="0.2">
      <c r="A31" s="224">
        <v>932.5</v>
      </c>
      <c r="B31" s="607" t="s">
        <v>602</v>
      </c>
      <c r="C31" s="608">
        <v>1141.5</v>
      </c>
      <c r="D31" s="609"/>
      <c r="E31" s="610">
        <v>149</v>
      </c>
      <c r="F31" s="610">
        <v>2134</v>
      </c>
      <c r="G31" s="611">
        <v>18.899999999999999</v>
      </c>
      <c r="H31" s="612"/>
      <c r="I31" s="613">
        <v>10.5</v>
      </c>
      <c r="J31" s="613">
        <v>27.3</v>
      </c>
      <c r="K31" s="614">
        <v>14.8</v>
      </c>
      <c r="L31" s="612"/>
      <c r="M31" s="612">
        <v>5.0999999999999996</v>
      </c>
      <c r="N31" s="612">
        <v>24.5</v>
      </c>
      <c r="O31" s="614">
        <v>19.850000000000001</v>
      </c>
      <c r="P31" s="612"/>
      <c r="Q31" s="615">
        <v>10.4</v>
      </c>
      <c r="R31" s="612">
        <v>29.3</v>
      </c>
      <c r="S31" s="616"/>
      <c r="T31" s="615">
        <v>1141.5</v>
      </c>
      <c r="U31" s="615"/>
      <c r="V31" s="610">
        <v>149</v>
      </c>
      <c r="W31" s="610">
        <v>2134</v>
      </c>
      <c r="X31" s="611">
        <v>18.899999999999999</v>
      </c>
      <c r="Y31" s="612"/>
      <c r="Z31" s="613">
        <v>10.5</v>
      </c>
      <c r="AA31" s="613">
        <v>27.3</v>
      </c>
      <c r="AB31" s="614">
        <v>14.8</v>
      </c>
      <c r="AC31" s="612"/>
      <c r="AD31" s="612">
        <v>5.0999999999999996</v>
      </c>
      <c r="AE31" s="612">
        <v>24.5</v>
      </c>
      <c r="AF31" s="614">
        <v>19.850000000000001</v>
      </c>
      <c r="AG31" s="614"/>
      <c r="AH31" s="612">
        <v>10.4</v>
      </c>
      <c r="AI31" s="617">
        <v>29.3</v>
      </c>
      <c r="AJ31" s="618"/>
      <c r="AK31" s="619">
        <v>932.5</v>
      </c>
      <c r="AL31" s="616"/>
      <c r="AM31" s="608">
        <v>1141.5</v>
      </c>
      <c r="AN31" s="608"/>
      <c r="AO31" s="608">
        <v>992.5</v>
      </c>
      <c r="AP31" s="611">
        <v>18.899999999999999</v>
      </c>
      <c r="AQ31" s="614"/>
      <c r="AR31" s="611">
        <v>8.4</v>
      </c>
      <c r="AS31" s="611">
        <v>14.8</v>
      </c>
      <c r="AT31" s="614"/>
      <c r="AU31" s="614">
        <v>9.6999999999999993</v>
      </c>
      <c r="AV31" s="614">
        <v>19.850000000000001</v>
      </c>
      <c r="AW31" s="614"/>
      <c r="AX31" s="614">
        <v>9.4499999999999993</v>
      </c>
      <c r="AY31" s="616"/>
      <c r="AZ31" s="615">
        <v>1141.5</v>
      </c>
      <c r="BA31" s="615"/>
      <c r="BB31" s="608">
        <v>992.5</v>
      </c>
      <c r="BC31" s="611">
        <v>18.899999999999999</v>
      </c>
      <c r="BD31" s="611"/>
      <c r="BE31" s="611">
        <v>8.4</v>
      </c>
      <c r="BF31" s="611">
        <v>14.8</v>
      </c>
      <c r="BG31" s="614"/>
      <c r="BH31" s="614">
        <v>9.6999999999999993</v>
      </c>
      <c r="BI31" s="614">
        <v>19.850000000000001</v>
      </c>
      <c r="BJ31" s="614"/>
      <c r="BK31" s="620">
        <v>9.4499999999999993</v>
      </c>
    </row>
    <row r="32" spans="1:63" x14ac:dyDescent="0.2">
      <c r="A32" s="224">
        <v>939.21500000000003</v>
      </c>
      <c r="B32" s="607" t="s">
        <v>602</v>
      </c>
      <c r="C32" s="608">
        <v>1223.5</v>
      </c>
      <c r="D32" s="608">
        <v>1223.5</v>
      </c>
      <c r="E32" s="610">
        <v>583</v>
      </c>
      <c r="F32" s="610">
        <v>1864</v>
      </c>
      <c r="G32" s="611">
        <v>18.399999999999999</v>
      </c>
      <c r="H32" s="612">
        <v>18.399999999999999</v>
      </c>
      <c r="I32" s="613">
        <v>12.9</v>
      </c>
      <c r="J32" s="613">
        <v>23.9</v>
      </c>
      <c r="K32" s="614">
        <v>13.2</v>
      </c>
      <c r="L32" s="612">
        <v>13.2</v>
      </c>
      <c r="M32" s="612">
        <v>7</v>
      </c>
      <c r="N32" s="612">
        <v>19.399999999999999</v>
      </c>
      <c r="O32" s="614">
        <v>22.7</v>
      </c>
      <c r="P32" s="612">
        <v>22.7</v>
      </c>
      <c r="Q32" s="615">
        <v>17.5</v>
      </c>
      <c r="R32" s="612">
        <v>27.9</v>
      </c>
      <c r="S32" s="616"/>
      <c r="T32" s="615">
        <v>1678.5</v>
      </c>
      <c r="U32" s="615">
        <v>1678.5</v>
      </c>
      <c r="V32" s="610">
        <v>1223</v>
      </c>
      <c r="W32" s="610">
        <v>2134</v>
      </c>
      <c r="X32" s="611">
        <v>10.45</v>
      </c>
      <c r="Y32" s="612">
        <v>10.45</v>
      </c>
      <c r="Z32" s="613">
        <v>10.4</v>
      </c>
      <c r="AA32" s="613">
        <v>10.5</v>
      </c>
      <c r="AB32" s="614">
        <v>6</v>
      </c>
      <c r="AC32" s="612">
        <v>6</v>
      </c>
      <c r="AD32" s="612">
        <v>5.0999999999999996</v>
      </c>
      <c r="AE32" s="612">
        <v>6.9</v>
      </c>
      <c r="AF32" s="614">
        <v>14.8</v>
      </c>
      <c r="AG32" s="614">
        <v>14.8</v>
      </c>
      <c r="AH32" s="612">
        <v>14.4</v>
      </c>
      <c r="AI32" s="617">
        <v>15.2</v>
      </c>
      <c r="AJ32" s="618"/>
      <c r="AK32" s="619">
        <v>939.21500000000003</v>
      </c>
      <c r="AL32" s="616"/>
      <c r="AM32" s="608">
        <v>1375.5</v>
      </c>
      <c r="AN32" s="608">
        <v>1375.5</v>
      </c>
      <c r="AO32" s="608">
        <v>623.5</v>
      </c>
      <c r="AP32" s="611">
        <v>14.425000000000001</v>
      </c>
      <c r="AQ32" s="614">
        <v>14.425000000000001</v>
      </c>
      <c r="AR32" s="611">
        <v>2.7250000000000001</v>
      </c>
      <c r="AS32" s="611">
        <v>9.6</v>
      </c>
      <c r="AT32" s="614">
        <v>9.6</v>
      </c>
      <c r="AU32" s="614">
        <v>3.55</v>
      </c>
      <c r="AV32" s="614">
        <v>19.024999999999999</v>
      </c>
      <c r="AW32" s="614">
        <v>19.024999999999999</v>
      </c>
      <c r="AX32" s="614">
        <v>2.125</v>
      </c>
      <c r="AY32" s="616"/>
      <c r="AZ32" s="615">
        <v>1739.7</v>
      </c>
      <c r="BA32" s="615">
        <v>1739.7</v>
      </c>
      <c r="BB32" s="608">
        <v>711.1</v>
      </c>
      <c r="BC32" s="611">
        <v>8.3800000000000008</v>
      </c>
      <c r="BD32" s="611">
        <v>8.3800000000000008</v>
      </c>
      <c r="BE32" s="611">
        <v>2.38</v>
      </c>
      <c r="BF32" s="611">
        <v>4.5149999999999997</v>
      </c>
      <c r="BG32" s="614">
        <v>4.5149999999999997</v>
      </c>
      <c r="BH32" s="614">
        <v>2.3849999999999998</v>
      </c>
      <c r="BI32" s="614">
        <v>13.225</v>
      </c>
      <c r="BJ32" s="614">
        <v>13.225</v>
      </c>
      <c r="BK32" s="620">
        <v>1.385</v>
      </c>
    </row>
    <row r="33" spans="1:63" x14ac:dyDescent="0.2">
      <c r="A33" s="224">
        <v>939.35500000000002</v>
      </c>
      <c r="B33" s="607" t="s">
        <v>602</v>
      </c>
      <c r="C33" s="608">
        <v>1355</v>
      </c>
      <c r="D33" s="609"/>
      <c r="E33" s="610">
        <v>576</v>
      </c>
      <c r="F33" s="610">
        <v>2134</v>
      </c>
      <c r="G33" s="611">
        <v>18.100000000000001</v>
      </c>
      <c r="H33" s="612"/>
      <c r="I33" s="613">
        <v>10.5</v>
      </c>
      <c r="J33" s="613">
        <v>25.7</v>
      </c>
      <c r="K33" s="614">
        <v>14.05</v>
      </c>
      <c r="L33" s="612"/>
      <c r="M33" s="612">
        <v>5.0999999999999996</v>
      </c>
      <c r="N33" s="612">
        <v>23</v>
      </c>
      <c r="O33" s="614">
        <v>20.55</v>
      </c>
      <c r="P33" s="612"/>
      <c r="Q33" s="615">
        <v>13.2</v>
      </c>
      <c r="R33" s="612">
        <v>27.9</v>
      </c>
      <c r="S33" s="616"/>
      <c r="T33" s="615">
        <v>1678.5</v>
      </c>
      <c r="U33" s="615"/>
      <c r="V33" s="610">
        <v>1223</v>
      </c>
      <c r="W33" s="610">
        <v>2134</v>
      </c>
      <c r="X33" s="611">
        <v>10.45</v>
      </c>
      <c r="Y33" s="612"/>
      <c r="Z33" s="613">
        <v>10.4</v>
      </c>
      <c r="AA33" s="613">
        <v>10.5</v>
      </c>
      <c r="AB33" s="614"/>
      <c r="AC33" s="612">
        <v>6</v>
      </c>
      <c r="AD33" s="612">
        <v>5.0999999999999996</v>
      </c>
      <c r="AE33" s="612">
        <v>6.9</v>
      </c>
      <c r="AF33" s="614">
        <v>14.8</v>
      </c>
      <c r="AG33" s="614"/>
      <c r="AH33" s="612">
        <v>14.4</v>
      </c>
      <c r="AI33" s="617">
        <v>15.2</v>
      </c>
      <c r="AJ33" s="618"/>
      <c r="AK33" s="619">
        <v>939.35500000000002</v>
      </c>
      <c r="AL33" s="616"/>
      <c r="AM33" s="608">
        <v>1528.55</v>
      </c>
      <c r="AN33" s="608"/>
      <c r="AO33" s="608">
        <v>711.05</v>
      </c>
      <c r="AP33" s="611">
        <v>12.55</v>
      </c>
      <c r="AQ33" s="614"/>
      <c r="AR33" s="611">
        <v>2.44</v>
      </c>
      <c r="AS33" s="611">
        <v>8.19</v>
      </c>
      <c r="AT33" s="614"/>
      <c r="AU33" s="614">
        <v>3.54</v>
      </c>
      <c r="AV33" s="614">
        <v>15.824999999999999</v>
      </c>
      <c r="AW33" s="614"/>
      <c r="AX33" s="614">
        <v>2.625</v>
      </c>
      <c r="AY33" s="616"/>
      <c r="AZ33" s="615">
        <v>1746.5</v>
      </c>
      <c r="BA33" s="615"/>
      <c r="BB33" s="608">
        <v>739.5</v>
      </c>
      <c r="BC33" s="611">
        <v>8.15</v>
      </c>
      <c r="BD33" s="611"/>
      <c r="BE33" s="611">
        <v>2.65</v>
      </c>
      <c r="BF33" s="611">
        <v>4.3499999999999996</v>
      </c>
      <c r="BG33" s="614"/>
      <c r="BH33" s="614">
        <v>2.5499999999999998</v>
      </c>
      <c r="BI33" s="614">
        <v>13</v>
      </c>
      <c r="BJ33" s="614"/>
      <c r="BK33" s="620">
        <v>1.64</v>
      </c>
    </row>
    <row r="34" spans="1:63" x14ac:dyDescent="0.2">
      <c r="A34" s="224">
        <v>939.95500000000004</v>
      </c>
      <c r="B34" s="607" t="s">
        <v>602</v>
      </c>
      <c r="C34" s="608">
        <v>1387</v>
      </c>
      <c r="D34" s="608">
        <v>1387</v>
      </c>
      <c r="E34" s="610">
        <v>1139</v>
      </c>
      <c r="F34" s="610">
        <v>1635</v>
      </c>
      <c r="G34" s="611">
        <v>17.8</v>
      </c>
      <c r="H34" s="614">
        <v>17.8</v>
      </c>
      <c r="I34" s="613">
        <v>14.4</v>
      </c>
      <c r="J34" s="613">
        <v>21.2</v>
      </c>
      <c r="K34" s="614">
        <v>12.1</v>
      </c>
      <c r="L34" s="614">
        <v>12.1</v>
      </c>
      <c r="M34" s="612">
        <v>7.8</v>
      </c>
      <c r="N34" s="612">
        <v>16.399999999999999</v>
      </c>
      <c r="O34" s="614">
        <v>23.5</v>
      </c>
      <c r="P34" s="614">
        <v>23.5</v>
      </c>
      <c r="Q34" s="615">
        <v>19.8</v>
      </c>
      <c r="R34" s="612">
        <v>27.2</v>
      </c>
      <c r="S34" s="616"/>
      <c r="T34" s="615">
        <v>1854.5</v>
      </c>
      <c r="U34" s="615">
        <v>1854.5</v>
      </c>
      <c r="V34" s="610">
        <v>1223</v>
      </c>
      <c r="W34" s="610">
        <v>2486</v>
      </c>
      <c r="X34" s="611">
        <v>10.45</v>
      </c>
      <c r="Y34" s="614">
        <v>10.45</v>
      </c>
      <c r="Z34" s="613">
        <v>10.4</v>
      </c>
      <c r="AA34" s="613">
        <v>10.5</v>
      </c>
      <c r="AB34" s="614">
        <v>6</v>
      </c>
      <c r="AC34" s="614">
        <v>6</v>
      </c>
      <c r="AD34" s="612">
        <v>5.0999999999999996</v>
      </c>
      <c r="AE34" s="612">
        <v>6.9</v>
      </c>
      <c r="AF34" s="614">
        <v>14.8</v>
      </c>
      <c r="AG34" s="614">
        <v>14.8</v>
      </c>
      <c r="AH34" s="612">
        <v>14.4</v>
      </c>
      <c r="AI34" s="617">
        <v>15.2</v>
      </c>
      <c r="AJ34" s="618"/>
      <c r="AK34" s="619">
        <v>939.95500000000004</v>
      </c>
      <c r="AL34" s="616"/>
      <c r="AM34" s="608">
        <v>1513.6</v>
      </c>
      <c r="AN34" s="608">
        <v>1513.6</v>
      </c>
      <c r="AO34" s="608">
        <v>461.8</v>
      </c>
      <c r="AP34" s="611">
        <v>14.125</v>
      </c>
      <c r="AQ34" s="614">
        <v>14.125</v>
      </c>
      <c r="AR34" s="611">
        <v>1.675</v>
      </c>
      <c r="AS34" s="611">
        <v>9.5250000000000004</v>
      </c>
      <c r="AT34" s="614">
        <v>9.5250000000000004</v>
      </c>
      <c r="AU34" s="614">
        <v>2.125</v>
      </c>
      <c r="AV34" s="614">
        <v>19.75</v>
      </c>
      <c r="AW34" s="614">
        <v>19.75</v>
      </c>
      <c r="AX34" s="614">
        <v>1.05</v>
      </c>
      <c r="AY34" s="616"/>
      <c r="AZ34" s="615">
        <v>1805.3</v>
      </c>
      <c r="BA34" s="615">
        <v>1805.3</v>
      </c>
      <c r="BB34" s="608">
        <v>711.9</v>
      </c>
      <c r="BC34" s="611">
        <v>8.61</v>
      </c>
      <c r="BD34" s="611">
        <v>8.61</v>
      </c>
      <c r="BE34" s="611">
        <v>2.11</v>
      </c>
      <c r="BF34" s="611">
        <v>5.72</v>
      </c>
      <c r="BG34" s="614">
        <v>5.72</v>
      </c>
      <c r="BH34" s="614">
        <v>1.18</v>
      </c>
      <c r="BI34" s="614">
        <v>13.66</v>
      </c>
      <c r="BJ34" s="614">
        <v>13.66</v>
      </c>
      <c r="BK34" s="620">
        <v>0.86000000000000121</v>
      </c>
    </row>
    <row r="35" spans="1:63" x14ac:dyDescent="0.2">
      <c r="A35" s="224">
        <v>940.15499999999997</v>
      </c>
      <c r="B35" s="607" t="s">
        <v>602</v>
      </c>
      <c r="C35" s="608"/>
      <c r="D35" s="609"/>
      <c r="E35" s="610"/>
      <c r="F35" s="610"/>
      <c r="G35" s="611"/>
      <c r="H35" s="612"/>
      <c r="I35" s="613"/>
      <c r="J35" s="613"/>
      <c r="K35" s="614"/>
      <c r="L35" s="612"/>
      <c r="M35" s="612"/>
      <c r="N35" s="612"/>
      <c r="O35" s="614"/>
      <c r="P35" s="612"/>
      <c r="Q35" s="615"/>
      <c r="R35" s="612"/>
      <c r="S35" s="616"/>
      <c r="T35" s="615"/>
      <c r="U35" s="610"/>
      <c r="V35" s="610"/>
      <c r="W35" s="610"/>
      <c r="X35" s="611"/>
      <c r="Y35" s="612"/>
      <c r="Z35" s="613"/>
      <c r="AA35" s="613"/>
      <c r="AB35" s="614"/>
      <c r="AC35" s="612"/>
      <c r="AD35" s="612"/>
      <c r="AE35" s="612"/>
      <c r="AF35" s="614"/>
      <c r="AG35" s="614"/>
      <c r="AH35" s="612"/>
      <c r="AI35" s="617"/>
      <c r="AJ35" s="618"/>
      <c r="AK35" s="619">
        <v>940.15499999999997</v>
      </c>
      <c r="AL35" s="616"/>
      <c r="AM35" s="608"/>
      <c r="AN35" s="608"/>
      <c r="AO35" s="608"/>
      <c r="AP35" s="611"/>
      <c r="AQ35" s="614"/>
      <c r="AR35" s="611"/>
      <c r="AS35" s="611"/>
      <c r="AT35" s="614"/>
      <c r="AU35" s="614"/>
      <c r="AV35" s="614"/>
      <c r="AW35" s="614"/>
      <c r="AX35" s="614"/>
      <c r="AY35" s="616"/>
      <c r="AZ35" s="615"/>
      <c r="BA35" s="615"/>
      <c r="BB35" s="608"/>
      <c r="BC35" s="611"/>
      <c r="BD35" s="611"/>
      <c r="BE35" s="611"/>
      <c r="BF35" s="611"/>
      <c r="BG35" s="614"/>
      <c r="BH35" s="614"/>
      <c r="BI35" s="614"/>
      <c r="BJ35" s="614"/>
      <c r="BK35" s="620"/>
    </row>
    <row r="36" spans="1:63" x14ac:dyDescent="0.2">
      <c r="A36" s="224">
        <v>948.91</v>
      </c>
      <c r="B36" s="607" t="s">
        <v>602</v>
      </c>
      <c r="C36" s="608">
        <v>2831</v>
      </c>
      <c r="D36" s="609"/>
      <c r="E36" s="610">
        <v>576</v>
      </c>
      <c r="F36" s="610">
        <v>5086</v>
      </c>
      <c r="G36" s="611">
        <v>17.45</v>
      </c>
      <c r="H36" s="612"/>
      <c r="I36" s="613">
        <v>9.1999999999999993</v>
      </c>
      <c r="J36" s="613">
        <v>25.7</v>
      </c>
      <c r="K36" s="614">
        <v>13.3</v>
      </c>
      <c r="L36" s="612"/>
      <c r="M36" s="612">
        <v>3.6</v>
      </c>
      <c r="N36" s="612">
        <v>23</v>
      </c>
      <c r="O36" s="614">
        <v>20.55</v>
      </c>
      <c r="P36" s="612"/>
      <c r="Q36" s="615">
        <v>13.2</v>
      </c>
      <c r="R36" s="612">
        <v>27.9</v>
      </c>
      <c r="S36" s="616"/>
      <c r="T36" s="615">
        <v>2304</v>
      </c>
      <c r="U36" s="610"/>
      <c r="V36" s="610">
        <v>1007</v>
      </c>
      <c r="W36" s="610">
        <v>3601</v>
      </c>
      <c r="X36" s="611">
        <v>15.6</v>
      </c>
      <c r="Y36" s="612"/>
      <c r="Z36" s="613">
        <v>5.5</v>
      </c>
      <c r="AA36" s="613">
        <v>25.7</v>
      </c>
      <c r="AB36" s="614">
        <v>11.55</v>
      </c>
      <c r="AC36" s="612"/>
      <c r="AD36" s="612"/>
      <c r="AE36" s="612">
        <v>23.1</v>
      </c>
      <c r="AF36" s="614">
        <v>21.4</v>
      </c>
      <c r="AG36" s="614"/>
      <c r="AH36" s="612">
        <v>15.2</v>
      </c>
      <c r="AI36" s="617">
        <v>27.6</v>
      </c>
      <c r="AJ36" s="618"/>
      <c r="AK36" s="619">
        <v>948.91</v>
      </c>
      <c r="AL36" s="616"/>
      <c r="AM36" s="608">
        <v>2831</v>
      </c>
      <c r="AN36" s="608"/>
      <c r="AO36" s="608">
        <v>2255</v>
      </c>
      <c r="AP36" s="611">
        <v>17.45</v>
      </c>
      <c r="AQ36" s="614"/>
      <c r="AR36" s="611">
        <v>8.25</v>
      </c>
      <c r="AS36" s="611">
        <v>13.3</v>
      </c>
      <c r="AT36" s="614"/>
      <c r="AU36" s="614">
        <v>9.6999999999999993</v>
      </c>
      <c r="AV36" s="614">
        <v>20.55</v>
      </c>
      <c r="AW36" s="614"/>
      <c r="AX36" s="614">
        <v>7.35</v>
      </c>
      <c r="AY36" s="616"/>
      <c r="AZ36" s="615">
        <v>2448.5500000000002</v>
      </c>
      <c r="BA36" s="615"/>
      <c r="BB36" s="608">
        <v>1494.85</v>
      </c>
      <c r="BC36" s="611">
        <v>15.515000000000001</v>
      </c>
      <c r="BD36" s="611"/>
      <c r="BE36" s="611">
        <v>10.195</v>
      </c>
      <c r="BF36" s="611">
        <v>11.465</v>
      </c>
      <c r="BG36" s="614"/>
      <c r="BH36" s="614">
        <v>11.685</v>
      </c>
      <c r="BI36" s="614">
        <v>21.04</v>
      </c>
      <c r="BJ36" s="614"/>
      <c r="BK36" s="620">
        <v>6.6</v>
      </c>
    </row>
    <row r="37" spans="1:63" x14ac:dyDescent="0.2">
      <c r="A37" s="224">
        <v>949.11</v>
      </c>
      <c r="B37" s="607" t="s">
        <v>602</v>
      </c>
      <c r="C37" s="608">
        <v>1100.5</v>
      </c>
      <c r="D37" s="608">
        <v>1100.5</v>
      </c>
      <c r="E37" s="610">
        <v>583</v>
      </c>
      <c r="F37" s="610">
        <v>1618</v>
      </c>
      <c r="G37" s="611">
        <v>18</v>
      </c>
      <c r="H37" s="612">
        <v>18</v>
      </c>
      <c r="I37" s="613">
        <v>14.8</v>
      </c>
      <c r="J37" s="613">
        <v>21.2</v>
      </c>
      <c r="K37" s="614">
        <v>12.45</v>
      </c>
      <c r="L37" s="612">
        <v>12.45</v>
      </c>
      <c r="M37" s="612">
        <v>8.5</v>
      </c>
      <c r="N37" s="612">
        <v>16.399999999999999</v>
      </c>
      <c r="O37" s="614">
        <v>23.6</v>
      </c>
      <c r="P37" s="612">
        <v>23.6</v>
      </c>
      <c r="Q37" s="615">
        <v>19.3</v>
      </c>
      <c r="R37" s="612">
        <v>27.9</v>
      </c>
      <c r="S37" s="616"/>
      <c r="T37" s="615">
        <v>1603</v>
      </c>
      <c r="U37" s="615">
        <v>1603</v>
      </c>
      <c r="V37" s="610">
        <v>1223</v>
      </c>
      <c r="W37" s="610">
        <v>1983</v>
      </c>
      <c r="X37" s="611">
        <v>10.45</v>
      </c>
      <c r="Y37" s="612">
        <v>10.45</v>
      </c>
      <c r="Z37" s="613">
        <v>10.4</v>
      </c>
      <c r="AA37" s="613">
        <v>10.5</v>
      </c>
      <c r="AB37" s="614">
        <v>6</v>
      </c>
      <c r="AC37" s="612">
        <v>6</v>
      </c>
      <c r="AD37" s="612">
        <v>5.0999999999999996</v>
      </c>
      <c r="AE37" s="612">
        <v>6.9</v>
      </c>
      <c r="AF37" s="614">
        <v>14.8</v>
      </c>
      <c r="AG37" s="614">
        <v>14.8</v>
      </c>
      <c r="AH37" s="612">
        <v>14.4</v>
      </c>
      <c r="AI37" s="617">
        <v>15.2</v>
      </c>
      <c r="AJ37" s="618"/>
      <c r="AK37" s="619">
        <v>949.11</v>
      </c>
      <c r="AL37" s="616"/>
      <c r="AM37" s="608">
        <v>1141.0999999999999</v>
      </c>
      <c r="AN37" s="608">
        <v>1141.0999999999999</v>
      </c>
      <c r="AO37" s="608">
        <v>490.5</v>
      </c>
      <c r="AP37" s="611">
        <v>16.760000000000002</v>
      </c>
      <c r="AQ37" s="614">
        <v>16.760000000000002</v>
      </c>
      <c r="AR37" s="611">
        <v>2.2799999999999998</v>
      </c>
      <c r="AS37" s="611">
        <v>11.22</v>
      </c>
      <c r="AT37" s="614">
        <v>11.22</v>
      </c>
      <c r="AU37" s="614">
        <v>3.28</v>
      </c>
      <c r="AV37" s="614">
        <v>22.05</v>
      </c>
      <c r="AW37" s="614">
        <v>22.05</v>
      </c>
      <c r="AX37" s="614">
        <v>3.15</v>
      </c>
      <c r="AY37" s="616"/>
      <c r="AZ37" s="615">
        <v>1600.8</v>
      </c>
      <c r="BA37" s="615">
        <v>1600.8</v>
      </c>
      <c r="BB37" s="608">
        <v>603.6</v>
      </c>
      <c r="BC37" s="611">
        <v>10.039999999999999</v>
      </c>
      <c r="BD37" s="611">
        <v>10.039999999999999</v>
      </c>
      <c r="BE37" s="611">
        <v>1.1000000000000001</v>
      </c>
      <c r="BF37" s="611">
        <v>5.79</v>
      </c>
      <c r="BG37" s="614">
        <v>5.79</v>
      </c>
      <c r="BH37" s="614">
        <v>1.1499999999999999</v>
      </c>
      <c r="BI37" s="614">
        <v>14.71</v>
      </c>
      <c r="BJ37" s="614">
        <v>14.71</v>
      </c>
      <c r="BK37" s="620">
        <v>-3.9999999999999147E-2</v>
      </c>
    </row>
    <row r="38" spans="1:63" x14ac:dyDescent="0.2">
      <c r="A38" s="224">
        <v>949.31</v>
      </c>
      <c r="B38" s="607" t="s">
        <v>602</v>
      </c>
      <c r="C38" s="608">
        <v>2299</v>
      </c>
      <c r="D38" s="609"/>
      <c r="E38" s="610">
        <v>583</v>
      </c>
      <c r="F38" s="610">
        <v>4015</v>
      </c>
      <c r="G38" s="611">
        <v>19.3</v>
      </c>
      <c r="H38" s="612"/>
      <c r="I38" s="613">
        <v>12.9</v>
      </c>
      <c r="J38" s="613">
        <v>25.7</v>
      </c>
      <c r="K38" s="614">
        <v>15</v>
      </c>
      <c r="L38" s="612"/>
      <c r="M38" s="612">
        <v>7</v>
      </c>
      <c r="N38" s="612">
        <v>23</v>
      </c>
      <c r="O38" s="614">
        <v>22.7</v>
      </c>
      <c r="P38" s="612"/>
      <c r="Q38" s="615">
        <v>17.5</v>
      </c>
      <c r="R38" s="612">
        <v>27.9</v>
      </c>
      <c r="S38" s="616"/>
      <c r="T38" s="615">
        <v>1703.5</v>
      </c>
      <c r="U38" s="610"/>
      <c r="V38" s="610">
        <v>921</v>
      </c>
      <c r="W38" s="610">
        <v>2486</v>
      </c>
      <c r="X38" s="611">
        <v>7.95</v>
      </c>
      <c r="Y38" s="612"/>
      <c r="Z38" s="613">
        <v>5.5</v>
      </c>
      <c r="AA38" s="613">
        <v>10.4</v>
      </c>
      <c r="AB38" s="614">
        <v>3.95</v>
      </c>
      <c r="AC38" s="612"/>
      <c r="AD38" s="612">
        <v>1</v>
      </c>
      <c r="AE38" s="612">
        <v>6.9</v>
      </c>
      <c r="AF38" s="614">
        <v>14.8</v>
      </c>
      <c r="AG38" s="614"/>
      <c r="AH38" s="612">
        <v>14.4</v>
      </c>
      <c r="AI38" s="617">
        <v>15.2</v>
      </c>
      <c r="AJ38" s="618"/>
      <c r="AK38" s="619">
        <v>949.31</v>
      </c>
      <c r="AL38" s="616"/>
      <c r="AM38" s="608">
        <v>1822.6</v>
      </c>
      <c r="AN38" s="608"/>
      <c r="AO38" s="608">
        <v>969.2</v>
      </c>
      <c r="AP38" s="611">
        <v>12.81</v>
      </c>
      <c r="AQ38" s="614"/>
      <c r="AR38" s="611">
        <v>0.64999999999999858</v>
      </c>
      <c r="AS38" s="611">
        <v>8.2200000000000006</v>
      </c>
      <c r="AT38" s="614"/>
      <c r="AU38" s="614">
        <v>1.9</v>
      </c>
      <c r="AV38" s="614">
        <v>16.87</v>
      </c>
      <c r="AW38" s="614"/>
      <c r="AX38" s="614">
        <v>0.22999999999999687</v>
      </c>
      <c r="AY38" s="616"/>
      <c r="AZ38" s="615">
        <v>1985.2</v>
      </c>
      <c r="BA38" s="615"/>
      <c r="BB38" s="608">
        <v>1135.4000000000001</v>
      </c>
      <c r="BC38" s="611">
        <v>9.41</v>
      </c>
      <c r="BD38" s="611"/>
      <c r="BE38" s="611">
        <v>4.05</v>
      </c>
      <c r="BF38" s="611">
        <v>5.52</v>
      </c>
      <c r="BG38" s="614"/>
      <c r="BH38" s="614">
        <v>4.72</v>
      </c>
      <c r="BI38" s="614">
        <v>15.43</v>
      </c>
      <c r="BJ38" s="614"/>
      <c r="BK38" s="620">
        <v>1.61</v>
      </c>
    </row>
    <row r="39" spans="1:63" x14ac:dyDescent="0.2">
      <c r="A39" s="224">
        <v>949.51</v>
      </c>
      <c r="B39" s="607" t="s">
        <v>602</v>
      </c>
      <c r="C39" s="608">
        <v>2299</v>
      </c>
      <c r="D39" s="609"/>
      <c r="E39" s="610">
        <v>583</v>
      </c>
      <c r="F39" s="610">
        <v>4015</v>
      </c>
      <c r="G39" s="611">
        <v>19.3</v>
      </c>
      <c r="H39" s="612"/>
      <c r="I39" s="613">
        <v>12.9</v>
      </c>
      <c r="J39" s="613">
        <v>25.7</v>
      </c>
      <c r="K39" s="614">
        <v>15</v>
      </c>
      <c r="L39" s="612"/>
      <c r="M39" s="612">
        <v>7</v>
      </c>
      <c r="N39" s="612">
        <v>23</v>
      </c>
      <c r="O39" s="614">
        <v>22.7</v>
      </c>
      <c r="P39" s="612"/>
      <c r="Q39" s="615">
        <v>17.5</v>
      </c>
      <c r="R39" s="612">
        <v>27.9</v>
      </c>
      <c r="S39" s="616"/>
      <c r="T39" s="615">
        <v>2680</v>
      </c>
      <c r="U39" s="610"/>
      <c r="V39" s="610">
        <v>921</v>
      </c>
      <c r="W39" s="610">
        <v>4439</v>
      </c>
      <c r="X39" s="611">
        <v>13.5</v>
      </c>
      <c r="Y39" s="612"/>
      <c r="Z39" s="613">
        <v>3.5</v>
      </c>
      <c r="AA39" s="613">
        <v>23.5</v>
      </c>
      <c r="AB39" s="614">
        <v>13.5</v>
      </c>
      <c r="AC39" s="612"/>
      <c r="AD39" s="612">
        <v>3.5</v>
      </c>
      <c r="AE39" s="612">
        <v>23.5</v>
      </c>
      <c r="AF39" s="614">
        <v>16.5</v>
      </c>
      <c r="AG39" s="614"/>
      <c r="AH39" s="612">
        <v>8.3000000000000007</v>
      </c>
      <c r="AI39" s="617">
        <v>24.7</v>
      </c>
      <c r="AJ39" s="618"/>
      <c r="AK39" s="619">
        <v>949.51</v>
      </c>
      <c r="AL39" s="616"/>
      <c r="AM39" s="608">
        <v>2352.1999999999998</v>
      </c>
      <c r="AN39" s="608"/>
      <c r="AO39" s="608">
        <v>1769.9</v>
      </c>
      <c r="AP39" s="611">
        <v>19.175000000000001</v>
      </c>
      <c r="AQ39" s="614"/>
      <c r="AR39" s="611">
        <v>6.6449999999999996</v>
      </c>
      <c r="AS39" s="611">
        <v>14.904999999999999</v>
      </c>
      <c r="AT39" s="614"/>
      <c r="AU39" s="614">
        <v>8.2449999999999992</v>
      </c>
      <c r="AV39" s="614">
        <v>22.645</v>
      </c>
      <c r="AW39" s="614"/>
      <c r="AX39" s="614">
        <v>5.5750000000000002</v>
      </c>
      <c r="AY39" s="616"/>
      <c r="AZ39" s="615">
        <v>2680</v>
      </c>
      <c r="BA39" s="615"/>
      <c r="BB39" s="608">
        <v>1759</v>
      </c>
      <c r="BC39" s="611">
        <v>13.5</v>
      </c>
      <c r="BD39" s="611"/>
      <c r="BE39" s="611">
        <v>10</v>
      </c>
      <c r="BF39" s="611">
        <v>13.5</v>
      </c>
      <c r="BG39" s="614"/>
      <c r="BH39" s="614">
        <v>10</v>
      </c>
      <c r="BI39" s="614">
        <v>16.5</v>
      </c>
      <c r="BJ39" s="614"/>
      <c r="BK39" s="620">
        <v>8.1999999999999993</v>
      </c>
    </row>
    <row r="40" spans="1:63" x14ac:dyDescent="0.2">
      <c r="A40" s="224">
        <v>949.71</v>
      </c>
      <c r="B40" s="607" t="s">
        <v>602</v>
      </c>
      <c r="C40" s="608">
        <v>2831</v>
      </c>
      <c r="D40" s="609"/>
      <c r="E40" s="610">
        <v>576</v>
      </c>
      <c r="F40" s="610">
        <v>5086</v>
      </c>
      <c r="G40" s="611">
        <v>17.45</v>
      </c>
      <c r="H40" s="612"/>
      <c r="I40" s="613">
        <v>9.1999999999999993</v>
      </c>
      <c r="J40" s="613">
        <v>25.7</v>
      </c>
      <c r="K40" s="614">
        <v>13.3</v>
      </c>
      <c r="L40" s="612"/>
      <c r="M40" s="612">
        <v>3.6</v>
      </c>
      <c r="N40" s="612">
        <v>23</v>
      </c>
      <c r="O40" s="614">
        <v>20.55</v>
      </c>
      <c r="P40" s="612"/>
      <c r="Q40" s="615">
        <v>13.2</v>
      </c>
      <c r="R40" s="612">
        <v>27.9</v>
      </c>
      <c r="S40" s="616"/>
      <c r="T40" s="615">
        <v>2304</v>
      </c>
      <c r="U40" s="610"/>
      <c r="V40" s="610">
        <v>1007</v>
      </c>
      <c r="W40" s="610">
        <v>3601</v>
      </c>
      <c r="X40" s="611">
        <v>15.6</v>
      </c>
      <c r="Y40" s="612"/>
      <c r="Z40" s="613">
        <v>5.5</v>
      </c>
      <c r="AA40" s="613">
        <v>25.7</v>
      </c>
      <c r="AB40" s="614">
        <v>11.55</v>
      </c>
      <c r="AC40" s="612"/>
      <c r="AD40" s="612"/>
      <c r="AE40" s="612">
        <v>23.1</v>
      </c>
      <c r="AF40" s="614">
        <v>21.4</v>
      </c>
      <c r="AG40" s="614"/>
      <c r="AH40" s="612">
        <v>15.2</v>
      </c>
      <c r="AI40" s="617">
        <v>27.6</v>
      </c>
      <c r="AJ40" s="618"/>
      <c r="AK40" s="619">
        <v>949.71</v>
      </c>
      <c r="AL40" s="616"/>
      <c r="AM40" s="608">
        <v>2831</v>
      </c>
      <c r="AN40" s="608"/>
      <c r="AO40" s="608">
        <v>2255</v>
      </c>
      <c r="AP40" s="611">
        <v>17.45</v>
      </c>
      <c r="AQ40" s="614"/>
      <c r="AR40" s="611">
        <v>8.25</v>
      </c>
      <c r="AS40" s="611">
        <v>13.3</v>
      </c>
      <c r="AT40" s="614"/>
      <c r="AU40" s="614">
        <v>9.6999999999999993</v>
      </c>
      <c r="AV40" s="614">
        <v>20.55</v>
      </c>
      <c r="AW40" s="614"/>
      <c r="AX40" s="614">
        <v>7.35</v>
      </c>
      <c r="AY40" s="616"/>
      <c r="AZ40" s="615">
        <v>2448.5500000000002</v>
      </c>
      <c r="BA40" s="615"/>
      <c r="BB40" s="608">
        <v>1494.85</v>
      </c>
      <c r="BC40" s="611">
        <v>15.515000000000001</v>
      </c>
      <c r="BD40" s="611"/>
      <c r="BE40" s="611">
        <v>10.195</v>
      </c>
      <c r="BF40" s="611">
        <v>11.465</v>
      </c>
      <c r="BG40" s="614"/>
      <c r="BH40" s="614">
        <v>11.685</v>
      </c>
      <c r="BI40" s="614">
        <v>21.04</v>
      </c>
      <c r="BJ40" s="614"/>
      <c r="BK40" s="620">
        <v>6.6</v>
      </c>
    </row>
    <row r="41" spans="1:63" x14ac:dyDescent="0.2">
      <c r="A41" s="224">
        <v>949.91</v>
      </c>
      <c r="B41" s="607" t="s">
        <v>602</v>
      </c>
      <c r="C41" s="608">
        <v>1636.5</v>
      </c>
      <c r="D41" s="608">
        <v>1636.5</v>
      </c>
      <c r="E41" s="610">
        <v>1139</v>
      </c>
      <c r="F41" s="610">
        <v>2134</v>
      </c>
      <c r="G41" s="611">
        <v>18.75</v>
      </c>
      <c r="H41" s="612">
        <v>18.75</v>
      </c>
      <c r="I41" s="613">
        <v>12.9</v>
      </c>
      <c r="J41" s="613">
        <v>24.6</v>
      </c>
      <c r="K41" s="614">
        <v>14.2</v>
      </c>
      <c r="L41" s="612">
        <v>14.2</v>
      </c>
      <c r="M41" s="612">
        <v>7</v>
      </c>
      <c r="N41" s="612">
        <v>21.4</v>
      </c>
      <c r="O41" s="614">
        <v>23.5</v>
      </c>
      <c r="P41" s="612">
        <v>23.5</v>
      </c>
      <c r="Q41" s="615">
        <v>19.8</v>
      </c>
      <c r="R41" s="612">
        <v>27.2</v>
      </c>
      <c r="S41" s="616"/>
      <c r="T41" s="615">
        <v>1470.5</v>
      </c>
      <c r="U41" s="615">
        <v>1470.5</v>
      </c>
      <c r="V41" s="610">
        <v>958</v>
      </c>
      <c r="W41" s="610">
        <v>1983</v>
      </c>
      <c r="X41" s="611">
        <v>10.45</v>
      </c>
      <c r="Y41" s="612">
        <v>10.45</v>
      </c>
      <c r="Z41" s="613">
        <v>10.4</v>
      </c>
      <c r="AA41" s="613">
        <v>10.5</v>
      </c>
      <c r="AB41" s="614">
        <v>6</v>
      </c>
      <c r="AC41" s="612">
        <v>6</v>
      </c>
      <c r="AD41" s="612">
        <v>5.0999999999999996</v>
      </c>
      <c r="AE41" s="612">
        <v>6.9</v>
      </c>
      <c r="AF41" s="614">
        <v>14.8</v>
      </c>
      <c r="AG41" s="614">
        <v>14.8</v>
      </c>
      <c r="AH41" s="612">
        <v>14.4</v>
      </c>
      <c r="AI41" s="617">
        <v>15.2</v>
      </c>
      <c r="AJ41" s="618"/>
      <c r="AK41" s="619">
        <v>949.91</v>
      </c>
      <c r="AL41" s="616"/>
      <c r="AM41" s="608">
        <v>1670</v>
      </c>
      <c r="AN41" s="608">
        <v>1670</v>
      </c>
      <c r="AO41" s="608">
        <v>640</v>
      </c>
      <c r="AP41" s="611">
        <v>14.6</v>
      </c>
      <c r="AQ41" s="614">
        <v>14.6</v>
      </c>
      <c r="AR41" s="611">
        <v>2.9</v>
      </c>
      <c r="AS41" s="611">
        <v>10.574999999999999</v>
      </c>
      <c r="AT41" s="614">
        <v>10.574999999999999</v>
      </c>
      <c r="AU41" s="614">
        <v>3.5750000000000002</v>
      </c>
      <c r="AV41" s="614">
        <v>19.725000000000001</v>
      </c>
      <c r="AW41" s="614">
        <v>19.725000000000001</v>
      </c>
      <c r="AX41" s="614">
        <v>1.075</v>
      </c>
      <c r="AY41" s="616"/>
      <c r="AZ41" s="615">
        <v>1504.7</v>
      </c>
      <c r="BA41" s="615">
        <v>1504.7</v>
      </c>
      <c r="BB41" s="608">
        <v>568.9</v>
      </c>
      <c r="BC41" s="611">
        <v>10.87</v>
      </c>
      <c r="BD41" s="611">
        <v>10.87</v>
      </c>
      <c r="BE41" s="611">
        <v>0.79000000000000092</v>
      </c>
      <c r="BF41" s="611">
        <v>5.94</v>
      </c>
      <c r="BG41" s="614">
        <v>5.94</v>
      </c>
      <c r="BH41" s="614">
        <v>1.08</v>
      </c>
      <c r="BI41" s="614">
        <v>16.760000000000002</v>
      </c>
      <c r="BJ41" s="614">
        <v>16.760000000000002</v>
      </c>
      <c r="BK41" s="620">
        <v>1.76</v>
      </c>
    </row>
    <row r="42" spans="1:63" x14ac:dyDescent="0.2">
      <c r="A42" s="224">
        <v>950.11</v>
      </c>
      <c r="B42" s="607" t="s">
        <v>602</v>
      </c>
      <c r="C42" s="608">
        <v>1220</v>
      </c>
      <c r="D42" s="609"/>
      <c r="E42" s="610">
        <v>576</v>
      </c>
      <c r="F42" s="610">
        <v>1864</v>
      </c>
      <c r="G42" s="611">
        <v>17.2</v>
      </c>
      <c r="H42" s="612"/>
      <c r="I42" s="613">
        <v>10.5</v>
      </c>
      <c r="J42" s="613">
        <v>23.9</v>
      </c>
      <c r="K42" s="614">
        <v>12.25</v>
      </c>
      <c r="L42" s="612"/>
      <c r="M42" s="612">
        <v>5.0999999999999996</v>
      </c>
      <c r="N42" s="612">
        <v>19.399999999999999</v>
      </c>
      <c r="O42" s="614">
        <v>22.1</v>
      </c>
      <c r="P42" s="612"/>
      <c r="Q42" s="615">
        <v>16.3</v>
      </c>
      <c r="R42" s="612">
        <v>27.9</v>
      </c>
      <c r="S42" s="616"/>
      <c r="T42" s="615">
        <v>1527.5</v>
      </c>
      <c r="U42" s="610"/>
      <c r="V42" s="610">
        <v>921</v>
      </c>
      <c r="W42" s="610">
        <v>2134</v>
      </c>
      <c r="X42" s="611">
        <v>10.45</v>
      </c>
      <c r="Y42" s="612"/>
      <c r="Z42" s="613">
        <v>10.4</v>
      </c>
      <c r="AA42" s="613">
        <v>10.5</v>
      </c>
      <c r="AB42" s="614">
        <v>6</v>
      </c>
      <c r="AC42" s="612"/>
      <c r="AD42" s="612">
        <v>5.0999999999999996</v>
      </c>
      <c r="AE42" s="612">
        <v>6.9</v>
      </c>
      <c r="AF42" s="614">
        <v>14.8</v>
      </c>
      <c r="AG42" s="614"/>
      <c r="AH42" s="612">
        <v>14.4</v>
      </c>
      <c r="AI42" s="617">
        <v>15.2</v>
      </c>
      <c r="AJ42" s="618"/>
      <c r="AK42" s="619">
        <v>950.11</v>
      </c>
      <c r="AL42" s="616"/>
      <c r="AM42" s="608">
        <v>1377.5</v>
      </c>
      <c r="AN42" s="608"/>
      <c r="AO42" s="608">
        <v>594.5</v>
      </c>
      <c r="AP42" s="611">
        <v>12.89</v>
      </c>
      <c r="AQ42" s="614"/>
      <c r="AR42" s="611">
        <v>2.91</v>
      </c>
      <c r="AS42" s="611">
        <v>8.1999999999999993</v>
      </c>
      <c r="AT42" s="614"/>
      <c r="AU42" s="614">
        <v>3.7</v>
      </c>
      <c r="AV42" s="614">
        <v>17.43</v>
      </c>
      <c r="AW42" s="614"/>
      <c r="AX42" s="614">
        <v>2.37</v>
      </c>
      <c r="AY42" s="616"/>
      <c r="AZ42" s="615">
        <v>1597.9</v>
      </c>
      <c r="BA42" s="615"/>
      <c r="BB42" s="608">
        <v>676.9</v>
      </c>
      <c r="BC42" s="611">
        <v>9.8699999999999992</v>
      </c>
      <c r="BD42" s="611"/>
      <c r="BE42" s="611">
        <v>1.37</v>
      </c>
      <c r="BF42" s="611">
        <v>5.08</v>
      </c>
      <c r="BG42" s="614"/>
      <c r="BH42" s="614">
        <v>1.9</v>
      </c>
      <c r="BI42" s="614">
        <v>15.64</v>
      </c>
      <c r="BJ42" s="614"/>
      <c r="BK42" s="620">
        <v>1.4</v>
      </c>
    </row>
    <row r="43" spans="1:63" x14ac:dyDescent="0.2">
      <c r="A43" s="224">
        <v>950.31</v>
      </c>
      <c r="B43" s="607" t="s">
        <v>602</v>
      </c>
      <c r="C43" s="608">
        <v>962</v>
      </c>
      <c r="D43" s="608">
        <v>962</v>
      </c>
      <c r="E43" s="610">
        <v>583</v>
      </c>
      <c r="F43" s="610">
        <v>1341</v>
      </c>
      <c r="G43" s="611">
        <v>18.399999999999999</v>
      </c>
      <c r="H43" s="614">
        <v>18.399999999999999</v>
      </c>
      <c r="I43" s="613">
        <v>14.8</v>
      </c>
      <c r="J43" s="613">
        <v>22</v>
      </c>
      <c r="K43" s="614">
        <v>12.3</v>
      </c>
      <c r="L43" s="614">
        <v>12.3</v>
      </c>
      <c r="M43" s="612">
        <v>8.5</v>
      </c>
      <c r="N43" s="612">
        <v>16.100000000000001</v>
      </c>
      <c r="O43" s="614">
        <v>23.6</v>
      </c>
      <c r="P43" s="614">
        <v>23.6</v>
      </c>
      <c r="Q43" s="615">
        <v>19.3</v>
      </c>
      <c r="R43" s="612">
        <v>27.9</v>
      </c>
      <c r="S43" s="616"/>
      <c r="T43" s="615">
        <v>1570.5</v>
      </c>
      <c r="U43" s="615">
        <v>1570.5</v>
      </c>
      <c r="V43" s="610">
        <v>1007</v>
      </c>
      <c r="W43" s="610">
        <v>2134</v>
      </c>
      <c r="X43" s="611">
        <v>10.45</v>
      </c>
      <c r="Y43" s="612">
        <v>10.45</v>
      </c>
      <c r="Z43" s="613">
        <v>10.4</v>
      </c>
      <c r="AA43" s="613">
        <v>10.5</v>
      </c>
      <c r="AB43" s="614">
        <v>6</v>
      </c>
      <c r="AC43" s="612">
        <v>6</v>
      </c>
      <c r="AD43" s="612">
        <v>5.0999999999999996</v>
      </c>
      <c r="AE43" s="612">
        <v>6.9</v>
      </c>
      <c r="AF43" s="614">
        <v>14.8</v>
      </c>
      <c r="AG43" s="614">
        <v>14.8</v>
      </c>
      <c r="AH43" s="612">
        <v>14.4</v>
      </c>
      <c r="AI43" s="617">
        <v>15.2</v>
      </c>
      <c r="AJ43" s="618"/>
      <c r="AK43" s="619">
        <v>950.31</v>
      </c>
      <c r="AL43" s="616"/>
      <c r="AM43" s="608">
        <v>1109.6500000000001</v>
      </c>
      <c r="AN43" s="608">
        <v>1109.6500000000001</v>
      </c>
      <c r="AO43" s="608">
        <v>425.25</v>
      </c>
      <c r="AP43" s="611">
        <v>16.48</v>
      </c>
      <c r="AQ43" s="614">
        <v>16.48</v>
      </c>
      <c r="AR43" s="611">
        <v>3.2</v>
      </c>
      <c r="AS43" s="611">
        <v>10.78</v>
      </c>
      <c r="AT43" s="614">
        <v>10.78</v>
      </c>
      <c r="AU43" s="614">
        <v>3.48</v>
      </c>
      <c r="AV43" s="614">
        <v>22.05</v>
      </c>
      <c r="AW43" s="614">
        <v>22.05</v>
      </c>
      <c r="AX43" s="614">
        <v>3.15</v>
      </c>
      <c r="AY43" s="616"/>
      <c r="AZ43" s="615">
        <v>1676.55</v>
      </c>
      <c r="BA43" s="615">
        <v>1676.55</v>
      </c>
      <c r="BB43" s="608">
        <v>703.85</v>
      </c>
      <c r="BC43" s="611">
        <v>9.2899999999999991</v>
      </c>
      <c r="BD43" s="611">
        <v>9.19</v>
      </c>
      <c r="BE43" s="611">
        <v>2.79</v>
      </c>
      <c r="BF43" s="611">
        <v>5.44</v>
      </c>
      <c r="BG43" s="614">
        <v>5.44</v>
      </c>
      <c r="BH43" s="614">
        <v>1.62</v>
      </c>
      <c r="BI43" s="614">
        <v>16.45</v>
      </c>
      <c r="BJ43" s="614">
        <v>16.45</v>
      </c>
      <c r="BK43" s="620">
        <v>4.13</v>
      </c>
    </row>
    <row r="44" spans="1:63" x14ac:dyDescent="0.2">
      <c r="A44" s="224">
        <v>950.51</v>
      </c>
      <c r="B44" s="607" t="s">
        <v>602</v>
      </c>
      <c r="C44" s="608">
        <v>1100.5</v>
      </c>
      <c r="D44" s="609"/>
      <c r="E44" s="610">
        <v>583</v>
      </c>
      <c r="F44" s="610">
        <v>1618</v>
      </c>
      <c r="G44" s="611">
        <v>19.3</v>
      </c>
      <c r="H44" s="612"/>
      <c r="I44" s="613">
        <v>12.9</v>
      </c>
      <c r="J44" s="613">
        <v>25.7</v>
      </c>
      <c r="K44" s="614">
        <v>15</v>
      </c>
      <c r="L44" s="612"/>
      <c r="M44" s="612">
        <v>7</v>
      </c>
      <c r="N44" s="612">
        <v>23</v>
      </c>
      <c r="O44" s="614">
        <v>23.6</v>
      </c>
      <c r="P44" s="612"/>
      <c r="Q44" s="615">
        <v>19.3</v>
      </c>
      <c r="R44" s="612">
        <v>27.9</v>
      </c>
      <c r="S44" s="616"/>
      <c r="T44" s="615">
        <v>1312.5</v>
      </c>
      <c r="U44" s="610"/>
      <c r="V44" s="610">
        <v>1007</v>
      </c>
      <c r="W44" s="610">
        <v>1618</v>
      </c>
      <c r="X44" s="611">
        <v>10.45</v>
      </c>
      <c r="Y44" s="612"/>
      <c r="Z44" s="613">
        <v>10.4</v>
      </c>
      <c r="AA44" s="613">
        <v>10.5</v>
      </c>
      <c r="AB44" s="614">
        <v>6</v>
      </c>
      <c r="AC44" s="612"/>
      <c r="AD44" s="612">
        <v>5.0999999999999996</v>
      </c>
      <c r="AE44" s="612">
        <v>6.9</v>
      </c>
      <c r="AF44" s="614">
        <v>14.8</v>
      </c>
      <c r="AG44" s="614"/>
      <c r="AH44" s="612">
        <v>14.4</v>
      </c>
      <c r="AI44" s="617">
        <v>15.2</v>
      </c>
      <c r="AJ44" s="618"/>
      <c r="AK44" s="619">
        <v>950.51</v>
      </c>
      <c r="AL44" s="616"/>
      <c r="AM44" s="608">
        <v>1168.0999999999999</v>
      </c>
      <c r="AN44" s="608"/>
      <c r="AO44" s="608">
        <v>449.9</v>
      </c>
      <c r="AP44" s="611">
        <v>16.21</v>
      </c>
      <c r="AQ44" s="614"/>
      <c r="AR44" s="611">
        <v>3.37</v>
      </c>
      <c r="AS44" s="611">
        <v>11.57</v>
      </c>
      <c r="AT44" s="614"/>
      <c r="AU44" s="614">
        <v>4.99</v>
      </c>
      <c r="AV44" s="614">
        <v>20.9</v>
      </c>
      <c r="AW44" s="614"/>
      <c r="AX44" s="614">
        <v>1.6</v>
      </c>
      <c r="AY44" s="616"/>
      <c r="AZ44" s="615">
        <v>1423.1</v>
      </c>
      <c r="BA44" s="615"/>
      <c r="BB44" s="608">
        <v>450.4</v>
      </c>
      <c r="BC44" s="611">
        <v>10.87</v>
      </c>
      <c r="BD44" s="611"/>
      <c r="BE44" s="611">
        <v>0.79000000000000092</v>
      </c>
      <c r="BF44" s="611">
        <v>5.94</v>
      </c>
      <c r="BG44" s="614"/>
      <c r="BH44" s="614">
        <v>1.08</v>
      </c>
      <c r="BI44" s="614">
        <v>17.25</v>
      </c>
      <c r="BJ44" s="614"/>
      <c r="BK44" s="620">
        <v>2.2999999999999998</v>
      </c>
    </row>
    <row r="45" spans="1:63" x14ac:dyDescent="0.2">
      <c r="A45" s="224">
        <v>950.71</v>
      </c>
      <c r="B45" s="607" t="s">
        <v>602</v>
      </c>
      <c r="C45" s="608">
        <v>1100.5</v>
      </c>
      <c r="D45" s="608">
        <v>1100.5</v>
      </c>
      <c r="E45" s="610">
        <v>583</v>
      </c>
      <c r="F45" s="610">
        <v>1618</v>
      </c>
      <c r="G45" s="611">
        <v>18</v>
      </c>
      <c r="H45" s="614">
        <v>18</v>
      </c>
      <c r="I45" s="613">
        <v>14.8</v>
      </c>
      <c r="J45" s="613">
        <v>21.2</v>
      </c>
      <c r="K45" s="614">
        <v>12.45</v>
      </c>
      <c r="L45" s="614">
        <v>12.45</v>
      </c>
      <c r="M45" s="612">
        <v>8.5</v>
      </c>
      <c r="N45" s="612">
        <v>16.399999999999999</v>
      </c>
      <c r="O45" s="614">
        <v>23.6</v>
      </c>
      <c r="P45" s="614">
        <v>23.6</v>
      </c>
      <c r="Q45" s="615">
        <v>19.3</v>
      </c>
      <c r="R45" s="612">
        <v>27.9</v>
      </c>
      <c r="S45" s="616"/>
      <c r="T45" s="615">
        <v>1312.5</v>
      </c>
      <c r="U45" s="615">
        <v>1312.5</v>
      </c>
      <c r="V45" s="610">
        <v>1007</v>
      </c>
      <c r="W45" s="610">
        <v>1618</v>
      </c>
      <c r="X45" s="611">
        <v>10.45</v>
      </c>
      <c r="Y45" s="612">
        <v>10.45</v>
      </c>
      <c r="Z45" s="613">
        <v>10.4</v>
      </c>
      <c r="AA45" s="613">
        <v>10.5</v>
      </c>
      <c r="AB45" s="614">
        <v>6</v>
      </c>
      <c r="AC45" s="612">
        <v>6</v>
      </c>
      <c r="AD45" s="612">
        <v>5.0999999999999996</v>
      </c>
      <c r="AE45" s="612">
        <v>6.9</v>
      </c>
      <c r="AF45" s="614">
        <v>14.8</v>
      </c>
      <c r="AG45" s="614">
        <v>14.8</v>
      </c>
      <c r="AH45" s="612">
        <v>14.4</v>
      </c>
      <c r="AI45" s="617">
        <v>15.2</v>
      </c>
      <c r="AJ45" s="618"/>
      <c r="AK45" s="619">
        <v>950.71</v>
      </c>
      <c r="AL45" s="616"/>
      <c r="AM45" s="608">
        <v>1141.0999999999999</v>
      </c>
      <c r="AN45" s="608">
        <v>1141.0999999999999</v>
      </c>
      <c r="AO45" s="608">
        <v>490.5</v>
      </c>
      <c r="AP45" s="611">
        <v>16.760000000000002</v>
      </c>
      <c r="AQ45" s="614">
        <v>16.760000000000002</v>
      </c>
      <c r="AR45" s="611">
        <v>2.2799999999999998</v>
      </c>
      <c r="AS45" s="611">
        <v>11.22</v>
      </c>
      <c r="AT45" s="614">
        <v>11.22</v>
      </c>
      <c r="AU45" s="614">
        <v>3.28</v>
      </c>
      <c r="AV45" s="614">
        <v>22.05</v>
      </c>
      <c r="AW45" s="614">
        <v>22.05</v>
      </c>
      <c r="AX45" s="614">
        <v>3.15</v>
      </c>
      <c r="AY45" s="616"/>
      <c r="AZ45" s="615">
        <v>1522.65</v>
      </c>
      <c r="BA45" s="615">
        <v>1522.65</v>
      </c>
      <c r="BB45" s="608">
        <v>559.75</v>
      </c>
      <c r="BC45" s="611">
        <v>9.2899999999999991</v>
      </c>
      <c r="BD45" s="611">
        <v>9.2899999999999991</v>
      </c>
      <c r="BE45" s="611">
        <v>2.79</v>
      </c>
      <c r="BF45" s="611">
        <v>5.8</v>
      </c>
      <c r="BG45" s="614">
        <v>5.8</v>
      </c>
      <c r="BH45" s="614">
        <v>1.26</v>
      </c>
      <c r="BI45" s="614">
        <v>16</v>
      </c>
      <c r="BJ45" s="614">
        <v>16</v>
      </c>
      <c r="BK45" s="620">
        <v>3.68</v>
      </c>
    </row>
    <row r="46" spans="1:63" x14ac:dyDescent="0.2">
      <c r="A46" s="224">
        <v>950.91</v>
      </c>
      <c r="B46" s="607" t="s">
        <v>602</v>
      </c>
      <c r="C46" s="608">
        <v>1100.5</v>
      </c>
      <c r="D46" s="608">
        <v>1100.5</v>
      </c>
      <c r="E46" s="610">
        <v>583</v>
      </c>
      <c r="F46" s="610">
        <v>1618</v>
      </c>
      <c r="G46" s="611">
        <v>18.399999999999999</v>
      </c>
      <c r="H46" s="612">
        <v>18.399999999999999</v>
      </c>
      <c r="I46" s="613">
        <v>12.9</v>
      </c>
      <c r="J46" s="613">
        <v>23.9</v>
      </c>
      <c r="K46" s="614">
        <v>13.2</v>
      </c>
      <c r="L46" s="612">
        <v>13.2</v>
      </c>
      <c r="M46" s="612">
        <v>7</v>
      </c>
      <c r="N46" s="612">
        <v>19.399999999999999</v>
      </c>
      <c r="O46" s="614">
        <v>23.6</v>
      </c>
      <c r="P46" s="612">
        <v>23.6</v>
      </c>
      <c r="Q46" s="615">
        <v>19.3</v>
      </c>
      <c r="R46" s="612">
        <v>27.9</v>
      </c>
      <c r="S46" s="616"/>
      <c r="T46" s="615">
        <v>1452</v>
      </c>
      <c r="U46" s="615">
        <v>1452</v>
      </c>
      <c r="V46" s="610">
        <v>921</v>
      </c>
      <c r="W46" s="610">
        <v>1983</v>
      </c>
      <c r="X46" s="611">
        <v>11.5</v>
      </c>
      <c r="Y46" s="612">
        <v>11.5</v>
      </c>
      <c r="Z46" s="613">
        <v>10.5</v>
      </c>
      <c r="AA46" s="613">
        <v>12.5</v>
      </c>
      <c r="AB46" s="614">
        <v>6.1</v>
      </c>
      <c r="AC46" s="612">
        <v>6.1</v>
      </c>
      <c r="AD46" s="612">
        <v>5.0999999999999996</v>
      </c>
      <c r="AE46" s="612">
        <v>7.1</v>
      </c>
      <c r="AF46" s="614">
        <v>19.7</v>
      </c>
      <c r="AG46" s="614"/>
      <c r="AH46" s="612">
        <v>14.7</v>
      </c>
      <c r="AI46" s="617">
        <v>24.7</v>
      </c>
      <c r="AJ46" s="618"/>
      <c r="AK46" s="619">
        <v>950.91</v>
      </c>
      <c r="AL46" s="616"/>
      <c r="AM46" s="608">
        <v>1160.25</v>
      </c>
      <c r="AN46" s="608">
        <v>1160.25</v>
      </c>
      <c r="AO46" s="608">
        <v>580.75</v>
      </c>
      <c r="AP46" s="611">
        <v>18.824999999999999</v>
      </c>
      <c r="AQ46" s="614">
        <v>18.824999999999999</v>
      </c>
      <c r="AR46" s="611">
        <v>5.9749999999999996</v>
      </c>
      <c r="AS46" s="611">
        <v>13.925000000000001</v>
      </c>
      <c r="AT46" s="614">
        <v>13.925000000000001</v>
      </c>
      <c r="AU46" s="614">
        <v>7.2750000000000004</v>
      </c>
      <c r="AV46" s="614">
        <v>23.15</v>
      </c>
      <c r="AW46" s="614">
        <v>23.15</v>
      </c>
      <c r="AX46" s="614">
        <v>4.75</v>
      </c>
      <c r="AY46" s="616"/>
      <c r="AZ46" s="615">
        <v>1482.2</v>
      </c>
      <c r="BA46" s="615">
        <v>1482.2</v>
      </c>
      <c r="BB46" s="608">
        <v>561.20000000000005</v>
      </c>
      <c r="BC46" s="611">
        <v>11.36</v>
      </c>
      <c r="BD46" s="611">
        <v>11.36</v>
      </c>
      <c r="BE46" s="611">
        <v>1.1399999999999999</v>
      </c>
      <c r="BF46" s="611">
        <v>6.02</v>
      </c>
      <c r="BG46" s="614">
        <v>6.02</v>
      </c>
      <c r="BH46" s="614">
        <v>1.08</v>
      </c>
      <c r="BI46" s="614">
        <v>19.73</v>
      </c>
      <c r="BJ46" s="614"/>
      <c r="BK46" s="620">
        <v>5.89</v>
      </c>
    </row>
    <row r="47" spans="1:63" x14ac:dyDescent="0.2">
      <c r="A47" s="224">
        <v>951.11</v>
      </c>
      <c r="B47" s="607" t="s">
        <v>602</v>
      </c>
      <c r="C47" s="608">
        <v>1387</v>
      </c>
      <c r="D47" s="608">
        <v>1387</v>
      </c>
      <c r="E47" s="610">
        <v>1139</v>
      </c>
      <c r="F47" s="610">
        <v>1635</v>
      </c>
      <c r="G47" s="611">
        <v>17.8</v>
      </c>
      <c r="H47" s="612">
        <v>17.8</v>
      </c>
      <c r="I47" s="613">
        <v>14.4</v>
      </c>
      <c r="J47" s="613">
        <v>21.2</v>
      </c>
      <c r="K47" s="614">
        <v>12.1</v>
      </c>
      <c r="L47" s="612">
        <v>12.1</v>
      </c>
      <c r="M47" s="612">
        <v>7.8</v>
      </c>
      <c r="N47" s="612">
        <v>16.399999999999999</v>
      </c>
      <c r="O47" s="614">
        <v>23.5</v>
      </c>
      <c r="P47" s="612">
        <v>23.5</v>
      </c>
      <c r="Q47" s="615">
        <v>19.8</v>
      </c>
      <c r="R47" s="612">
        <v>27.2</v>
      </c>
      <c r="S47" s="616"/>
      <c r="T47" s="615">
        <v>1603</v>
      </c>
      <c r="U47" s="615">
        <v>1603</v>
      </c>
      <c r="V47" s="610">
        <v>1223</v>
      </c>
      <c r="W47" s="610">
        <v>1983</v>
      </c>
      <c r="X47" s="611">
        <v>10.45</v>
      </c>
      <c r="Y47" s="612">
        <v>10.45</v>
      </c>
      <c r="Z47" s="613">
        <v>10.4</v>
      </c>
      <c r="AA47" s="613">
        <v>10.5</v>
      </c>
      <c r="AB47" s="614">
        <v>6</v>
      </c>
      <c r="AC47" s="612">
        <v>6</v>
      </c>
      <c r="AD47" s="612">
        <v>5.0999999999999996</v>
      </c>
      <c r="AE47" s="612">
        <v>6.9</v>
      </c>
      <c r="AF47" s="614">
        <v>14.8</v>
      </c>
      <c r="AG47" s="614">
        <v>14.8</v>
      </c>
      <c r="AH47" s="612">
        <v>14.4</v>
      </c>
      <c r="AI47" s="617">
        <v>15.2</v>
      </c>
      <c r="AJ47" s="618"/>
      <c r="AK47" s="619">
        <v>951.11</v>
      </c>
      <c r="AL47" s="616"/>
      <c r="AM47" s="608">
        <v>1457.25</v>
      </c>
      <c r="AN47" s="608">
        <v>1457.25</v>
      </c>
      <c r="AO47" s="608">
        <v>427.25</v>
      </c>
      <c r="AP47" s="611">
        <v>15.19</v>
      </c>
      <c r="AQ47" s="614">
        <v>15.19</v>
      </c>
      <c r="AR47" s="611">
        <v>1.69</v>
      </c>
      <c r="AS47" s="611">
        <v>9.9600000000000009</v>
      </c>
      <c r="AT47" s="614">
        <v>9.9600000000000009</v>
      </c>
      <c r="AU47" s="614">
        <v>2.64</v>
      </c>
      <c r="AV47" s="614">
        <v>20.28</v>
      </c>
      <c r="AW47" s="614">
        <v>20.28</v>
      </c>
      <c r="AX47" s="614">
        <v>1.8</v>
      </c>
      <c r="AY47" s="616"/>
      <c r="AZ47" s="615">
        <v>1551.7</v>
      </c>
      <c r="BA47" s="615">
        <v>1551.7</v>
      </c>
      <c r="BB47" s="608">
        <v>567.20000000000005</v>
      </c>
      <c r="BC47" s="611">
        <v>10.3</v>
      </c>
      <c r="BD47" s="611">
        <v>10.315</v>
      </c>
      <c r="BE47" s="611">
        <v>0.5</v>
      </c>
      <c r="BF47" s="611">
        <v>5.8</v>
      </c>
      <c r="BG47" s="614">
        <v>5.8</v>
      </c>
      <c r="BH47" s="614">
        <v>1.1000000000000001</v>
      </c>
      <c r="BI47" s="614">
        <v>14.72</v>
      </c>
      <c r="BJ47" s="614">
        <v>14.73</v>
      </c>
      <c r="BK47" s="620">
        <v>-8.0000000000000071E-2</v>
      </c>
    </row>
    <row r="48" spans="1:63" x14ac:dyDescent="0.2">
      <c r="A48" s="224">
        <v>951.30499999999995</v>
      </c>
      <c r="B48" s="607" t="s">
        <v>602</v>
      </c>
      <c r="C48" s="608">
        <v>1100.5</v>
      </c>
      <c r="D48" s="608">
        <v>1100.5</v>
      </c>
      <c r="E48" s="610">
        <v>583</v>
      </c>
      <c r="F48" s="610">
        <v>1618</v>
      </c>
      <c r="G48" s="611">
        <v>17.8</v>
      </c>
      <c r="H48" s="612">
        <v>17.8</v>
      </c>
      <c r="I48" s="613">
        <v>14.4</v>
      </c>
      <c r="J48" s="613">
        <v>21.2</v>
      </c>
      <c r="K48" s="614">
        <v>12.1</v>
      </c>
      <c r="L48" s="612">
        <v>12.1</v>
      </c>
      <c r="M48" s="612">
        <v>7.8</v>
      </c>
      <c r="N48" s="612">
        <v>16.399999999999999</v>
      </c>
      <c r="O48" s="614">
        <v>23.6</v>
      </c>
      <c r="P48" s="612">
        <v>23.6</v>
      </c>
      <c r="Q48" s="615">
        <v>19.3</v>
      </c>
      <c r="R48" s="612">
        <v>27.9</v>
      </c>
      <c r="S48" s="616"/>
      <c r="T48" s="615">
        <v>1470.5</v>
      </c>
      <c r="U48" s="615">
        <v>1470.5</v>
      </c>
      <c r="V48" s="610">
        <v>958</v>
      </c>
      <c r="W48" s="610">
        <v>1983</v>
      </c>
      <c r="X48" s="611">
        <v>10.45</v>
      </c>
      <c r="Y48" s="612">
        <v>10.45</v>
      </c>
      <c r="Z48" s="613">
        <v>10.4</v>
      </c>
      <c r="AA48" s="613">
        <v>10.5</v>
      </c>
      <c r="AB48" s="614">
        <v>6</v>
      </c>
      <c r="AC48" s="612">
        <v>6</v>
      </c>
      <c r="AD48" s="612">
        <v>5.0999999999999996</v>
      </c>
      <c r="AE48" s="612">
        <v>6.9</v>
      </c>
      <c r="AF48" s="614">
        <v>14.8</v>
      </c>
      <c r="AG48" s="614">
        <v>14.8</v>
      </c>
      <c r="AH48" s="612">
        <v>14.4</v>
      </c>
      <c r="AI48" s="617">
        <v>15.2</v>
      </c>
      <c r="AJ48" s="618"/>
      <c r="AK48" s="619">
        <v>951.30499999999995</v>
      </c>
      <c r="AL48" s="616"/>
      <c r="AM48" s="608">
        <v>1157.1500000000001</v>
      </c>
      <c r="AN48" s="608">
        <v>1157.1500000000001</v>
      </c>
      <c r="AO48" s="608">
        <v>472.75</v>
      </c>
      <c r="AP48" s="611">
        <v>15.654999999999999</v>
      </c>
      <c r="AQ48" s="614">
        <v>15.654999999999999</v>
      </c>
      <c r="AR48" s="611">
        <v>2.3050000000000002</v>
      </c>
      <c r="AS48" s="611">
        <v>10.395</v>
      </c>
      <c r="AT48" s="614">
        <v>10.395</v>
      </c>
      <c r="AU48" s="614">
        <v>3.1549999999999998</v>
      </c>
      <c r="AV48" s="614">
        <v>20.98</v>
      </c>
      <c r="AW48" s="614">
        <v>20.98</v>
      </c>
      <c r="AX48" s="614">
        <v>2.87</v>
      </c>
      <c r="AY48" s="616"/>
      <c r="AZ48" s="615">
        <v>1516.1</v>
      </c>
      <c r="BA48" s="615">
        <v>1516.1</v>
      </c>
      <c r="BB48" s="608">
        <v>587.70000000000005</v>
      </c>
      <c r="BC48" s="611">
        <v>11.01</v>
      </c>
      <c r="BD48" s="611">
        <v>11.01</v>
      </c>
      <c r="BE48" s="611">
        <v>1.07</v>
      </c>
      <c r="BF48" s="611">
        <v>5.92</v>
      </c>
      <c r="BG48" s="614">
        <v>5.92</v>
      </c>
      <c r="BH48" s="614">
        <v>1.1399999999999999</v>
      </c>
      <c r="BI48" s="614">
        <v>17.739999999999998</v>
      </c>
      <c r="BJ48" s="614">
        <v>17.739999999999998</v>
      </c>
      <c r="BK48" s="620">
        <v>2.84</v>
      </c>
    </row>
    <row r="49" spans="1:63" x14ac:dyDescent="0.2">
      <c r="A49" s="224">
        <v>951.505</v>
      </c>
      <c r="B49" s="607" t="s">
        <v>602</v>
      </c>
      <c r="C49" s="608">
        <v>1240</v>
      </c>
      <c r="D49" s="608">
        <v>1240</v>
      </c>
      <c r="E49" s="610">
        <v>1139</v>
      </c>
      <c r="F49" s="610">
        <v>1341</v>
      </c>
      <c r="G49" s="611">
        <v>19.7</v>
      </c>
      <c r="H49" s="612">
        <v>19.7</v>
      </c>
      <c r="I49" s="613">
        <v>18.2</v>
      </c>
      <c r="J49" s="613">
        <v>21.2</v>
      </c>
      <c r="K49" s="614">
        <v>14.5</v>
      </c>
      <c r="L49" s="612">
        <v>14.5</v>
      </c>
      <c r="M49" s="612">
        <v>12.9</v>
      </c>
      <c r="N49" s="612">
        <v>16.100000000000001</v>
      </c>
      <c r="O49" s="614">
        <v>25.05</v>
      </c>
      <c r="P49" s="614">
        <v>25.05</v>
      </c>
      <c r="Q49" s="615">
        <v>22.9</v>
      </c>
      <c r="R49" s="612">
        <v>27.2</v>
      </c>
      <c r="S49" s="616"/>
      <c r="T49" s="615">
        <v>1546</v>
      </c>
      <c r="U49" s="615">
        <v>1546</v>
      </c>
      <c r="V49" s="610">
        <v>958</v>
      </c>
      <c r="W49" s="610">
        <v>2134</v>
      </c>
      <c r="X49" s="611">
        <v>10.45</v>
      </c>
      <c r="Y49" s="612">
        <v>10.45</v>
      </c>
      <c r="Z49" s="613">
        <v>10.4</v>
      </c>
      <c r="AA49" s="613">
        <v>10.5</v>
      </c>
      <c r="AB49" s="614">
        <v>6</v>
      </c>
      <c r="AC49" s="612">
        <v>6</v>
      </c>
      <c r="AD49" s="612">
        <v>5.0999999999999996</v>
      </c>
      <c r="AE49" s="612">
        <v>6.9</v>
      </c>
      <c r="AF49" s="614">
        <v>14.8</v>
      </c>
      <c r="AG49" s="614">
        <v>14.8</v>
      </c>
      <c r="AH49" s="612">
        <v>14.4</v>
      </c>
      <c r="AI49" s="617">
        <v>15.2</v>
      </c>
      <c r="AJ49" s="618"/>
      <c r="AK49" s="619">
        <v>951.505</v>
      </c>
      <c r="AL49" s="616"/>
      <c r="AM49" s="608">
        <v>1253.45</v>
      </c>
      <c r="AN49" s="608">
        <v>1253.45</v>
      </c>
      <c r="AO49" s="608">
        <v>366.25</v>
      </c>
      <c r="AP49" s="611">
        <v>17.765000000000001</v>
      </c>
      <c r="AQ49" s="614">
        <v>17.765000000000001</v>
      </c>
      <c r="AR49" s="611">
        <v>3.5150000000000001</v>
      </c>
      <c r="AS49" s="611">
        <v>11.925000000000001</v>
      </c>
      <c r="AT49" s="614">
        <v>11.925000000000001</v>
      </c>
      <c r="AU49" s="614">
        <v>4.2050000000000001</v>
      </c>
      <c r="AV49" s="614">
        <v>23.51</v>
      </c>
      <c r="AW49" s="614">
        <v>23.51</v>
      </c>
      <c r="AX49" s="614">
        <v>3.76</v>
      </c>
      <c r="AY49" s="616"/>
      <c r="AZ49" s="615">
        <v>1686.8</v>
      </c>
      <c r="BA49" s="615">
        <v>1686.8</v>
      </c>
      <c r="BB49" s="608">
        <v>728.8</v>
      </c>
      <c r="BC49" s="611">
        <v>9.2899999999999991</v>
      </c>
      <c r="BD49" s="611">
        <v>9.2899999999999991</v>
      </c>
      <c r="BE49" s="611">
        <v>2.79</v>
      </c>
      <c r="BF49" s="611">
        <v>5.8</v>
      </c>
      <c r="BG49" s="614">
        <v>5.8</v>
      </c>
      <c r="BH49" s="614">
        <v>1.26</v>
      </c>
      <c r="BI49" s="614">
        <v>16</v>
      </c>
      <c r="BJ49" s="614">
        <v>16</v>
      </c>
      <c r="BK49" s="620">
        <v>3.68</v>
      </c>
    </row>
    <row r="50" spans="1:63" x14ac:dyDescent="0.2">
      <c r="A50" s="224">
        <v>958.41</v>
      </c>
      <c r="B50" s="607" t="s">
        <v>602</v>
      </c>
      <c r="C50" s="608">
        <v>2299</v>
      </c>
      <c r="D50" s="609"/>
      <c r="E50" s="610">
        <v>583</v>
      </c>
      <c r="F50" s="610">
        <v>4015</v>
      </c>
      <c r="G50" s="611">
        <v>19.3</v>
      </c>
      <c r="H50" s="612"/>
      <c r="I50" s="613">
        <v>12.9</v>
      </c>
      <c r="J50" s="613">
        <v>25.7</v>
      </c>
      <c r="K50" s="614">
        <v>15</v>
      </c>
      <c r="L50" s="612"/>
      <c r="M50" s="612">
        <v>7</v>
      </c>
      <c r="N50" s="612">
        <v>23</v>
      </c>
      <c r="O50" s="614">
        <v>22.7</v>
      </c>
      <c r="P50" s="612"/>
      <c r="Q50" s="615">
        <v>17.5</v>
      </c>
      <c r="R50" s="612">
        <v>27.9</v>
      </c>
      <c r="S50" s="616"/>
      <c r="T50" s="615">
        <v>1746.5</v>
      </c>
      <c r="U50" s="610"/>
      <c r="V50" s="610">
        <v>1007</v>
      </c>
      <c r="W50" s="610">
        <v>2486</v>
      </c>
      <c r="X50" s="611">
        <v>7.95</v>
      </c>
      <c r="Y50" s="612"/>
      <c r="Z50" s="613">
        <v>5.5</v>
      </c>
      <c r="AA50" s="613">
        <v>10.4</v>
      </c>
      <c r="AB50" s="614">
        <v>5.2</v>
      </c>
      <c r="AC50" s="612"/>
      <c r="AD50" s="612">
        <v>3.5</v>
      </c>
      <c r="AE50" s="612">
        <v>6.9</v>
      </c>
      <c r="AF50" s="614">
        <v>14.8</v>
      </c>
      <c r="AG50" s="614"/>
      <c r="AH50" s="612">
        <v>14.4</v>
      </c>
      <c r="AI50" s="617">
        <v>15.2</v>
      </c>
      <c r="AJ50" s="618"/>
      <c r="AK50" s="619">
        <v>958.41</v>
      </c>
      <c r="AL50" s="616"/>
      <c r="AM50" s="608">
        <v>1822.6</v>
      </c>
      <c r="AN50" s="608"/>
      <c r="AO50" s="608">
        <v>969.2</v>
      </c>
      <c r="AP50" s="611">
        <v>12.81</v>
      </c>
      <c r="AQ50" s="614"/>
      <c r="AR50" s="611">
        <v>0.64999999999999858</v>
      </c>
      <c r="AS50" s="611">
        <v>8.2200000000000006</v>
      </c>
      <c r="AT50" s="614"/>
      <c r="AU50" s="614">
        <v>1.9</v>
      </c>
      <c r="AV50" s="614">
        <v>16.87</v>
      </c>
      <c r="AW50" s="614"/>
      <c r="AX50" s="614">
        <v>0.22999999999999687</v>
      </c>
      <c r="AY50" s="616"/>
      <c r="AZ50" s="615">
        <v>1808.75</v>
      </c>
      <c r="BA50" s="615"/>
      <c r="BB50" s="608">
        <v>844.75</v>
      </c>
      <c r="BC50" s="611">
        <v>8.3000000000000007</v>
      </c>
      <c r="BD50" s="611"/>
      <c r="BE50" s="611">
        <v>3.15</v>
      </c>
      <c r="BF50" s="611">
        <v>4.625</v>
      </c>
      <c r="BG50" s="614"/>
      <c r="BH50" s="614">
        <v>2.375</v>
      </c>
      <c r="BI50" s="614">
        <v>15.48</v>
      </c>
      <c r="BJ50" s="614"/>
      <c r="BK50" s="620">
        <v>3.04</v>
      </c>
    </row>
    <row r="51" spans="1:63" x14ac:dyDescent="0.2">
      <c r="A51" s="224">
        <v>958.61</v>
      </c>
      <c r="B51" s="607" t="s">
        <v>602</v>
      </c>
      <c r="C51" s="608">
        <v>2831</v>
      </c>
      <c r="D51" s="609"/>
      <c r="E51" s="610">
        <v>576</v>
      </c>
      <c r="F51" s="610">
        <v>5086</v>
      </c>
      <c r="G51" s="611">
        <v>17.45</v>
      </c>
      <c r="H51" s="612"/>
      <c r="I51" s="613">
        <v>9.1999999999999993</v>
      </c>
      <c r="J51" s="613">
        <v>25.7</v>
      </c>
      <c r="K51" s="614">
        <v>13.3</v>
      </c>
      <c r="L51" s="612"/>
      <c r="M51" s="612">
        <v>3.6</v>
      </c>
      <c r="N51" s="612">
        <v>23</v>
      </c>
      <c r="O51" s="614">
        <v>20.55</v>
      </c>
      <c r="P51" s="612"/>
      <c r="Q51" s="615">
        <v>13.2</v>
      </c>
      <c r="R51" s="612">
        <v>27.9</v>
      </c>
      <c r="S51" s="616"/>
      <c r="T51" s="615">
        <v>1854.5</v>
      </c>
      <c r="U51" s="610"/>
      <c r="V51" s="610">
        <v>1223</v>
      </c>
      <c r="W51" s="610">
        <v>2486</v>
      </c>
      <c r="X51" s="611">
        <v>7.85</v>
      </c>
      <c r="Y51" s="612"/>
      <c r="Z51" s="613">
        <v>5.3</v>
      </c>
      <c r="AA51" s="613">
        <v>10.4</v>
      </c>
      <c r="AB51" s="614">
        <v>5.2</v>
      </c>
      <c r="AC51" s="612"/>
      <c r="AD51" s="612">
        <v>3.5</v>
      </c>
      <c r="AE51" s="612">
        <v>6.9</v>
      </c>
      <c r="AF51" s="614">
        <v>11.8</v>
      </c>
      <c r="AG51" s="614"/>
      <c r="AH51" s="612">
        <v>9.1999999999999993</v>
      </c>
      <c r="AI51" s="617">
        <v>14.4</v>
      </c>
      <c r="AJ51" s="618"/>
      <c r="AK51" s="619">
        <v>958.61</v>
      </c>
      <c r="AL51" s="616"/>
      <c r="AM51" s="608">
        <v>1929</v>
      </c>
      <c r="AN51" s="608"/>
      <c r="AO51" s="608">
        <v>1077</v>
      </c>
      <c r="AP51" s="611">
        <v>11.33</v>
      </c>
      <c r="AQ51" s="614"/>
      <c r="AR51" s="611">
        <v>2.13</v>
      </c>
      <c r="AS51" s="611">
        <v>6.86</v>
      </c>
      <c r="AT51" s="614"/>
      <c r="AU51" s="614">
        <v>3.26</v>
      </c>
      <c r="AV51" s="614">
        <v>15.15</v>
      </c>
      <c r="AW51" s="614"/>
      <c r="AX51" s="614">
        <v>1.95</v>
      </c>
      <c r="AY51" s="616"/>
      <c r="AZ51" s="615">
        <v>1790.6</v>
      </c>
      <c r="BA51" s="615"/>
      <c r="BB51" s="608">
        <v>726.6</v>
      </c>
      <c r="BC51" s="611">
        <v>7.82</v>
      </c>
      <c r="BD51" s="611"/>
      <c r="BE51" s="611">
        <v>2.82</v>
      </c>
      <c r="BF51" s="611">
        <v>4.6900000000000004</v>
      </c>
      <c r="BG51" s="614"/>
      <c r="BH51" s="614">
        <v>2.21</v>
      </c>
      <c r="BI51" s="614">
        <v>11.68</v>
      </c>
      <c r="BJ51" s="614"/>
      <c r="BK51" s="620">
        <v>2.84</v>
      </c>
    </row>
    <row r="52" spans="1:63" x14ac:dyDescent="0.2">
      <c r="A52" s="224">
        <v>958.81</v>
      </c>
      <c r="B52" s="607" t="s">
        <v>602</v>
      </c>
      <c r="C52" s="608">
        <v>1100.5</v>
      </c>
      <c r="D52" s="609"/>
      <c r="E52" s="610">
        <v>583</v>
      </c>
      <c r="F52" s="610">
        <v>1618</v>
      </c>
      <c r="G52" s="611">
        <v>18.399999999999999</v>
      </c>
      <c r="H52" s="612"/>
      <c r="I52" s="613">
        <v>12.9</v>
      </c>
      <c r="J52" s="613">
        <v>23.9</v>
      </c>
      <c r="K52" s="614">
        <v>13.2</v>
      </c>
      <c r="L52" s="612"/>
      <c r="M52" s="612">
        <v>7</v>
      </c>
      <c r="N52" s="612">
        <v>19.399999999999999</v>
      </c>
      <c r="O52" s="614">
        <v>23.6</v>
      </c>
      <c r="P52" s="612"/>
      <c r="Q52" s="615">
        <v>19.3</v>
      </c>
      <c r="R52" s="612">
        <v>27.9</v>
      </c>
      <c r="S52" s="616"/>
      <c r="T52" s="615">
        <v>1722</v>
      </c>
      <c r="U52" s="610"/>
      <c r="V52" s="610">
        <v>958</v>
      </c>
      <c r="W52" s="610">
        <v>2486</v>
      </c>
      <c r="X52" s="611">
        <v>7.95</v>
      </c>
      <c r="Y52" s="612"/>
      <c r="Z52" s="613">
        <v>5.5</v>
      </c>
      <c r="AA52" s="613">
        <v>10.4</v>
      </c>
      <c r="AB52" s="614">
        <v>3.95</v>
      </c>
      <c r="AC52" s="612"/>
      <c r="AD52" s="612">
        <v>1</v>
      </c>
      <c r="AE52" s="612">
        <v>6.9</v>
      </c>
      <c r="AF52" s="614">
        <v>14.8</v>
      </c>
      <c r="AG52" s="614"/>
      <c r="AH52" s="612">
        <v>14.4</v>
      </c>
      <c r="AI52" s="617">
        <v>15.2</v>
      </c>
      <c r="AJ52" s="618"/>
      <c r="AK52" s="619">
        <v>958.81</v>
      </c>
      <c r="AL52" s="616"/>
      <c r="AM52" s="608">
        <v>1246.5</v>
      </c>
      <c r="AN52" s="608"/>
      <c r="AO52" s="608">
        <v>494.5</v>
      </c>
      <c r="AP52" s="611">
        <v>15</v>
      </c>
      <c r="AQ52" s="614"/>
      <c r="AR52" s="611">
        <v>2.15</v>
      </c>
      <c r="AS52" s="611">
        <v>9.9</v>
      </c>
      <c r="AT52" s="614"/>
      <c r="AU52" s="614">
        <v>3.25</v>
      </c>
      <c r="AV52" s="614">
        <v>19.774999999999999</v>
      </c>
      <c r="AW52" s="614"/>
      <c r="AX52" s="614">
        <v>1.375</v>
      </c>
      <c r="AY52" s="616"/>
      <c r="AZ52" s="615">
        <v>1796.5</v>
      </c>
      <c r="BA52" s="615"/>
      <c r="BB52" s="608">
        <v>857</v>
      </c>
      <c r="BC52" s="611">
        <v>8.3000000000000007</v>
      </c>
      <c r="BD52" s="611"/>
      <c r="BE52" s="611">
        <v>3.15</v>
      </c>
      <c r="BF52" s="611">
        <v>3.8250000000000002</v>
      </c>
      <c r="BG52" s="614"/>
      <c r="BH52" s="614">
        <v>3.1749999999999998</v>
      </c>
      <c r="BI52" s="614">
        <v>15.31</v>
      </c>
      <c r="BJ52" s="614"/>
      <c r="BK52" s="620">
        <v>2.1800000000000002</v>
      </c>
    </row>
    <row r="53" spans="1:63" x14ac:dyDescent="0.2">
      <c r="A53" s="224">
        <v>959.01</v>
      </c>
      <c r="B53" s="607" t="s">
        <v>602</v>
      </c>
      <c r="C53" s="608">
        <v>1378.5</v>
      </c>
      <c r="D53" s="608">
        <v>1378.5</v>
      </c>
      <c r="E53" s="610">
        <v>1139</v>
      </c>
      <c r="F53" s="610">
        <v>1618</v>
      </c>
      <c r="G53" s="611">
        <v>18</v>
      </c>
      <c r="H53" s="612">
        <v>18</v>
      </c>
      <c r="I53" s="613">
        <v>14.8</v>
      </c>
      <c r="J53" s="613">
        <v>21.2</v>
      </c>
      <c r="K53" s="614">
        <v>12.85</v>
      </c>
      <c r="L53" s="612">
        <v>12.85</v>
      </c>
      <c r="M53" s="612">
        <v>9.3000000000000007</v>
      </c>
      <c r="N53" s="612">
        <v>16.399999999999999</v>
      </c>
      <c r="O53" s="614">
        <v>25.8</v>
      </c>
      <c r="P53" s="612">
        <v>25.8</v>
      </c>
      <c r="Q53" s="615">
        <v>24.4</v>
      </c>
      <c r="R53" s="612">
        <v>27.2</v>
      </c>
      <c r="S53" s="616"/>
      <c r="T53" s="615">
        <v>1495</v>
      </c>
      <c r="U53" s="615">
        <v>1495</v>
      </c>
      <c r="V53" s="610">
        <v>1007</v>
      </c>
      <c r="W53" s="610">
        <v>1983</v>
      </c>
      <c r="X53" s="611">
        <v>10.45</v>
      </c>
      <c r="Y53" s="612">
        <v>10.45</v>
      </c>
      <c r="Z53" s="613">
        <v>10.4</v>
      </c>
      <c r="AA53" s="613">
        <v>10.5</v>
      </c>
      <c r="AB53" s="614">
        <v>6</v>
      </c>
      <c r="AC53" s="612">
        <v>6</v>
      </c>
      <c r="AD53" s="612">
        <v>5.0999999999999996</v>
      </c>
      <c r="AE53" s="612">
        <v>6.9</v>
      </c>
      <c r="AF53" s="614">
        <v>14.8</v>
      </c>
      <c r="AG53" s="614">
        <v>14.8</v>
      </c>
      <c r="AH53" s="612">
        <v>14.4</v>
      </c>
      <c r="AI53" s="617">
        <v>15.2</v>
      </c>
      <c r="AJ53" s="618"/>
      <c r="AK53" s="619">
        <v>959.01</v>
      </c>
      <c r="AL53" s="616"/>
      <c r="AM53" s="608">
        <v>1278</v>
      </c>
      <c r="AN53" s="608">
        <v>1278</v>
      </c>
      <c r="AO53" s="608">
        <v>357</v>
      </c>
      <c r="AP53" s="611">
        <v>17.86</v>
      </c>
      <c r="AQ53" s="614">
        <v>17.86</v>
      </c>
      <c r="AR53" s="611">
        <v>3.61</v>
      </c>
      <c r="AS53" s="611">
        <v>12.565</v>
      </c>
      <c r="AT53" s="614">
        <v>12.565</v>
      </c>
      <c r="AU53" s="614">
        <v>4.1349999999999998</v>
      </c>
      <c r="AV53" s="614">
        <v>23.51</v>
      </c>
      <c r="AW53" s="614">
        <v>23.51</v>
      </c>
      <c r="AX53" s="614">
        <v>3.76</v>
      </c>
      <c r="AY53" s="616"/>
      <c r="AZ53" s="615">
        <v>1540.9</v>
      </c>
      <c r="BA53" s="615">
        <v>1540.9</v>
      </c>
      <c r="BB53" s="608">
        <v>578</v>
      </c>
      <c r="BC53" s="611">
        <v>11.08</v>
      </c>
      <c r="BD53" s="611">
        <v>11.08</v>
      </c>
      <c r="BE53" s="611">
        <v>1.21</v>
      </c>
      <c r="BF53" s="611">
        <v>5.91</v>
      </c>
      <c r="BG53" s="614">
        <v>5.91</v>
      </c>
      <c r="BH53" s="614">
        <v>1.17</v>
      </c>
      <c r="BI53" s="614">
        <v>17.704999999999998</v>
      </c>
      <c r="BJ53" s="614">
        <v>17.704999999999998</v>
      </c>
      <c r="BK53" s="620">
        <v>2.855</v>
      </c>
    </row>
    <row r="54" spans="1:63" x14ac:dyDescent="0.2">
      <c r="A54" s="224">
        <v>968.01</v>
      </c>
      <c r="B54" s="607" t="s">
        <v>602</v>
      </c>
      <c r="C54" s="608">
        <v>1240</v>
      </c>
      <c r="D54" s="608">
        <v>1240</v>
      </c>
      <c r="E54" s="610">
        <v>1139</v>
      </c>
      <c r="F54" s="610">
        <v>1341</v>
      </c>
      <c r="G54" s="611">
        <v>17.8</v>
      </c>
      <c r="H54" s="612">
        <v>17.8</v>
      </c>
      <c r="I54" s="613">
        <v>14.4</v>
      </c>
      <c r="J54" s="613">
        <v>21.2</v>
      </c>
      <c r="K54" s="614">
        <v>11.95</v>
      </c>
      <c r="L54" s="612">
        <v>11.95</v>
      </c>
      <c r="M54" s="612">
        <v>7.8</v>
      </c>
      <c r="N54" s="612">
        <v>16.100000000000001</v>
      </c>
      <c r="O54" s="614">
        <v>23.5</v>
      </c>
      <c r="P54" s="612">
        <v>23.5</v>
      </c>
      <c r="Q54" s="615">
        <v>19.8</v>
      </c>
      <c r="R54" s="612">
        <v>27.2</v>
      </c>
      <c r="S54" s="616"/>
      <c r="T54" s="615">
        <v>1527.5</v>
      </c>
      <c r="U54" s="615">
        <v>1527.5</v>
      </c>
      <c r="V54" s="610">
        <v>921</v>
      </c>
      <c r="W54" s="610">
        <v>2134</v>
      </c>
      <c r="X54" s="611">
        <v>10.45</v>
      </c>
      <c r="Y54" s="612">
        <v>10.45</v>
      </c>
      <c r="Z54" s="613">
        <v>10.4</v>
      </c>
      <c r="AA54" s="613">
        <v>10.5</v>
      </c>
      <c r="AB54" s="614">
        <v>6</v>
      </c>
      <c r="AC54" s="612">
        <v>6</v>
      </c>
      <c r="AD54" s="612">
        <v>5.0999999999999996</v>
      </c>
      <c r="AE54" s="612">
        <v>6.9</v>
      </c>
      <c r="AF54" s="614">
        <v>14.8</v>
      </c>
      <c r="AG54" s="614">
        <v>14.8</v>
      </c>
      <c r="AH54" s="612">
        <v>14.4</v>
      </c>
      <c r="AI54" s="617">
        <v>15.2</v>
      </c>
      <c r="AJ54" s="618"/>
      <c r="AK54" s="619">
        <v>968.01</v>
      </c>
      <c r="AL54" s="616"/>
      <c r="AM54" s="608">
        <v>1263.5999999999999</v>
      </c>
      <c r="AN54" s="608">
        <v>1263.5999999999999</v>
      </c>
      <c r="AO54" s="608">
        <v>299</v>
      </c>
      <c r="AP54" s="611">
        <v>16.12</v>
      </c>
      <c r="AQ54" s="614">
        <v>16.12</v>
      </c>
      <c r="AR54" s="611">
        <v>2.92</v>
      </c>
      <c r="AS54" s="611">
        <v>10.71</v>
      </c>
      <c r="AT54" s="614">
        <v>10.71</v>
      </c>
      <c r="AU54" s="614">
        <v>3.55</v>
      </c>
      <c r="AV54" s="614">
        <v>22.02</v>
      </c>
      <c r="AW54" s="614">
        <v>22.02</v>
      </c>
      <c r="AX54" s="614">
        <v>2.62</v>
      </c>
      <c r="AY54" s="616"/>
      <c r="AZ54" s="615">
        <v>1633.1</v>
      </c>
      <c r="BA54" s="615">
        <v>1633.1</v>
      </c>
      <c r="BB54" s="608">
        <v>712.1</v>
      </c>
      <c r="BC54" s="611">
        <v>9.58</v>
      </c>
      <c r="BD54" s="611">
        <v>9.58</v>
      </c>
      <c r="BE54" s="611">
        <v>2.08</v>
      </c>
      <c r="BF54" s="611">
        <v>4.83</v>
      </c>
      <c r="BG54" s="614">
        <v>4.83</v>
      </c>
      <c r="BH54" s="614">
        <v>2.19</v>
      </c>
      <c r="BI54" s="614">
        <v>15.9</v>
      </c>
      <c r="BJ54" s="614">
        <v>15.9</v>
      </c>
      <c r="BK54" s="620">
        <v>2.62</v>
      </c>
    </row>
    <row r="55" spans="1:63" x14ac:dyDescent="0.2">
      <c r="A55" s="224">
        <v>968.21</v>
      </c>
      <c r="B55" s="607" t="s">
        <v>602</v>
      </c>
      <c r="C55" s="608">
        <v>1355</v>
      </c>
      <c r="D55" s="609"/>
      <c r="E55" s="610">
        <v>576</v>
      </c>
      <c r="F55" s="610">
        <v>2134</v>
      </c>
      <c r="G55" s="611">
        <v>18.100000000000001</v>
      </c>
      <c r="H55" s="612"/>
      <c r="I55" s="613">
        <v>10.5</v>
      </c>
      <c r="J55" s="613">
        <v>25.7</v>
      </c>
      <c r="K55" s="614">
        <v>14.05</v>
      </c>
      <c r="L55" s="612"/>
      <c r="M55" s="612">
        <v>5.0999999999999996</v>
      </c>
      <c r="N55" s="612">
        <v>23</v>
      </c>
      <c r="O55" s="614">
        <v>20.55</v>
      </c>
      <c r="P55" s="612"/>
      <c r="Q55" s="615">
        <v>13.2</v>
      </c>
      <c r="R55" s="612">
        <v>27.9</v>
      </c>
      <c r="S55" s="616"/>
      <c r="T55" s="615">
        <v>1570.5</v>
      </c>
      <c r="U55" s="610"/>
      <c r="V55" s="610">
        <v>1007</v>
      </c>
      <c r="W55" s="610">
        <v>2134</v>
      </c>
      <c r="X55" s="611">
        <v>10.45</v>
      </c>
      <c r="Y55" s="612"/>
      <c r="Z55" s="613">
        <v>10.4</v>
      </c>
      <c r="AA55" s="613">
        <v>10.5</v>
      </c>
      <c r="AB55" s="614">
        <v>6</v>
      </c>
      <c r="AC55" s="612"/>
      <c r="AD55" s="612">
        <v>5.0999999999999996</v>
      </c>
      <c r="AE55" s="612">
        <v>6.9</v>
      </c>
      <c r="AF55" s="614">
        <v>14.8</v>
      </c>
      <c r="AG55" s="614"/>
      <c r="AH55" s="612">
        <v>14.4</v>
      </c>
      <c r="AI55" s="617">
        <v>15.2</v>
      </c>
      <c r="AJ55" s="618"/>
      <c r="AK55" s="619">
        <v>968.21</v>
      </c>
      <c r="AL55" s="616"/>
      <c r="AM55" s="608">
        <v>1528.9</v>
      </c>
      <c r="AN55" s="608"/>
      <c r="AO55" s="608">
        <v>745.9</v>
      </c>
      <c r="AP55" s="611">
        <v>13.25</v>
      </c>
      <c r="AQ55" s="614"/>
      <c r="AR55" s="611">
        <v>3.27</v>
      </c>
      <c r="AS55" s="611">
        <v>8.92</v>
      </c>
      <c r="AT55" s="614"/>
      <c r="AU55" s="614">
        <v>4.42</v>
      </c>
      <c r="AV55" s="614">
        <v>16.5</v>
      </c>
      <c r="AW55" s="614"/>
      <c r="AX55" s="614">
        <v>3.3</v>
      </c>
      <c r="AY55" s="616"/>
      <c r="AZ55" s="615">
        <v>1663.6</v>
      </c>
      <c r="BA55" s="615"/>
      <c r="BB55" s="608">
        <v>716.8</v>
      </c>
      <c r="BC55" s="611">
        <v>9.4350000000000005</v>
      </c>
      <c r="BD55" s="611"/>
      <c r="BE55" s="611">
        <v>2.4350000000000001</v>
      </c>
      <c r="BF55" s="611">
        <v>4.6349999999999998</v>
      </c>
      <c r="BG55" s="614"/>
      <c r="BH55" s="614">
        <v>2.4049999999999998</v>
      </c>
      <c r="BI55" s="614">
        <v>16.175000000000001</v>
      </c>
      <c r="BJ55" s="614"/>
      <c r="BK55" s="620">
        <v>3.375</v>
      </c>
    </row>
    <row r="56" spans="1:63" x14ac:dyDescent="0.2">
      <c r="A56" s="224">
        <v>968.41</v>
      </c>
      <c r="B56" s="607" t="s">
        <v>602</v>
      </c>
      <c r="C56" s="608">
        <v>1105.5</v>
      </c>
      <c r="D56" s="609"/>
      <c r="E56" s="610">
        <v>576</v>
      </c>
      <c r="F56" s="610">
        <v>1635</v>
      </c>
      <c r="G56" s="611">
        <v>17.8</v>
      </c>
      <c r="H56" s="612"/>
      <c r="I56" s="613">
        <v>14.4</v>
      </c>
      <c r="J56" s="613">
        <v>21.2</v>
      </c>
      <c r="K56" s="614">
        <v>12.1</v>
      </c>
      <c r="L56" s="612"/>
      <c r="M56" s="612">
        <v>7.8</v>
      </c>
      <c r="N56" s="612">
        <v>16.399999999999999</v>
      </c>
      <c r="O56" s="614">
        <v>22.75</v>
      </c>
      <c r="P56" s="612"/>
      <c r="Q56" s="615">
        <v>17.600000000000001</v>
      </c>
      <c r="R56" s="612">
        <v>27.9</v>
      </c>
      <c r="S56" s="616"/>
      <c r="T56" s="615">
        <v>1854.5</v>
      </c>
      <c r="U56" s="615">
        <v>1854.5</v>
      </c>
      <c r="V56" s="610">
        <v>1223</v>
      </c>
      <c r="W56" s="610">
        <v>2486</v>
      </c>
      <c r="X56" s="611">
        <v>10.45</v>
      </c>
      <c r="Y56" s="614">
        <v>10.45</v>
      </c>
      <c r="Z56" s="613">
        <v>10.4</v>
      </c>
      <c r="AA56" s="613">
        <v>10.5</v>
      </c>
      <c r="AB56" s="614">
        <v>6</v>
      </c>
      <c r="AC56" s="612"/>
      <c r="AD56" s="612">
        <v>5.0999999999999996</v>
      </c>
      <c r="AE56" s="612">
        <v>6.9</v>
      </c>
      <c r="AF56" s="614">
        <v>14.8</v>
      </c>
      <c r="AG56" s="614"/>
      <c r="AH56" s="612">
        <v>14.4</v>
      </c>
      <c r="AI56" s="617">
        <v>15.2</v>
      </c>
      <c r="AJ56" s="618"/>
      <c r="AK56" s="619">
        <v>968.41</v>
      </c>
      <c r="AL56" s="616"/>
      <c r="AM56" s="608">
        <v>1353.9</v>
      </c>
      <c r="AN56" s="608"/>
      <c r="AO56" s="608">
        <v>536.4</v>
      </c>
      <c r="AP56" s="611">
        <v>13.78</v>
      </c>
      <c r="AQ56" s="614"/>
      <c r="AR56" s="611">
        <v>0.9399999999999995</v>
      </c>
      <c r="AS56" s="611">
        <v>8.7100000000000009</v>
      </c>
      <c r="AT56" s="614"/>
      <c r="AU56" s="614">
        <v>1.99</v>
      </c>
      <c r="AV56" s="614">
        <v>19.350000000000001</v>
      </c>
      <c r="AW56" s="614"/>
      <c r="AX56" s="614">
        <v>1.8</v>
      </c>
      <c r="AY56" s="616"/>
      <c r="AZ56" s="615">
        <v>1792</v>
      </c>
      <c r="BA56" s="615">
        <v>1792</v>
      </c>
      <c r="BB56" s="608">
        <v>720</v>
      </c>
      <c r="BC56" s="611">
        <v>9.07</v>
      </c>
      <c r="BD56" s="611">
        <v>9.07</v>
      </c>
      <c r="BE56" s="611">
        <v>1.57</v>
      </c>
      <c r="BF56" s="611">
        <v>5.01</v>
      </c>
      <c r="BG56" s="614">
        <v>5.01</v>
      </c>
      <c r="BH56" s="614">
        <v>1.89</v>
      </c>
      <c r="BI56" s="614">
        <v>13.945</v>
      </c>
      <c r="BJ56" s="614"/>
      <c r="BK56" s="620">
        <v>0.54500000000000004</v>
      </c>
    </row>
    <row r="57" spans="1:63" x14ac:dyDescent="0.2">
      <c r="A57" s="224">
        <v>968.61</v>
      </c>
      <c r="B57" s="607" t="s">
        <v>602</v>
      </c>
      <c r="C57" s="608">
        <v>1109</v>
      </c>
      <c r="D57" s="609"/>
      <c r="E57" s="610">
        <v>583</v>
      </c>
      <c r="F57" s="610">
        <v>1635</v>
      </c>
      <c r="G57" s="611">
        <v>17.8</v>
      </c>
      <c r="H57" s="612"/>
      <c r="I57" s="613">
        <v>14.4</v>
      </c>
      <c r="J57" s="613">
        <v>21.2</v>
      </c>
      <c r="K57" s="614">
        <v>12.1</v>
      </c>
      <c r="L57" s="612"/>
      <c r="M57" s="612">
        <v>7.8</v>
      </c>
      <c r="N57" s="612">
        <v>16.399999999999999</v>
      </c>
      <c r="O57" s="614">
        <v>22.75</v>
      </c>
      <c r="P57" s="612"/>
      <c r="Q57" s="615">
        <v>17.600000000000001</v>
      </c>
      <c r="R57" s="612">
        <v>27.9</v>
      </c>
      <c r="S57" s="616"/>
      <c r="T57" s="615">
        <v>1570.5</v>
      </c>
      <c r="U57" s="610"/>
      <c r="V57" s="610">
        <v>1007</v>
      </c>
      <c r="W57" s="610">
        <v>2134</v>
      </c>
      <c r="X57" s="611">
        <v>10.45</v>
      </c>
      <c r="Y57" s="612"/>
      <c r="Z57" s="613">
        <v>10.4</v>
      </c>
      <c r="AA57" s="613">
        <v>10.5</v>
      </c>
      <c r="AB57" s="614">
        <v>6</v>
      </c>
      <c r="AC57" s="612"/>
      <c r="AD57" s="612">
        <v>5.0999999999999996</v>
      </c>
      <c r="AE57" s="612">
        <v>6.9</v>
      </c>
      <c r="AF57" s="614">
        <v>14.8</v>
      </c>
      <c r="AG57" s="614"/>
      <c r="AH57" s="612">
        <v>14.4</v>
      </c>
      <c r="AI57" s="617">
        <v>15.2</v>
      </c>
      <c r="AJ57" s="618"/>
      <c r="AK57" s="619">
        <v>968.61</v>
      </c>
      <c r="AL57" s="616"/>
      <c r="AM57" s="608">
        <v>1318.25</v>
      </c>
      <c r="AN57" s="608"/>
      <c r="AO57" s="608">
        <v>566.25</v>
      </c>
      <c r="AP57" s="611">
        <v>14.725</v>
      </c>
      <c r="AQ57" s="614"/>
      <c r="AR57" s="611">
        <v>1.075</v>
      </c>
      <c r="AS57" s="611">
        <v>9.5250000000000004</v>
      </c>
      <c r="AT57" s="614"/>
      <c r="AU57" s="614">
        <v>2.125</v>
      </c>
      <c r="AV57" s="614">
        <v>19.350000000000001</v>
      </c>
      <c r="AW57" s="614"/>
      <c r="AX57" s="614">
        <v>1.8</v>
      </c>
      <c r="AY57" s="616"/>
      <c r="AZ57" s="615">
        <v>1663.6</v>
      </c>
      <c r="BA57" s="615"/>
      <c r="BB57" s="608">
        <v>716.8</v>
      </c>
      <c r="BC57" s="611">
        <v>9.4350000000000005</v>
      </c>
      <c r="BD57" s="611"/>
      <c r="BE57" s="611">
        <v>2.4350000000000001</v>
      </c>
      <c r="BF57" s="611">
        <v>4.6349999999999998</v>
      </c>
      <c r="BG57" s="614"/>
      <c r="BH57" s="614">
        <v>2.4049999999999998</v>
      </c>
      <c r="BI57" s="614">
        <v>16.175000000000001</v>
      </c>
      <c r="BJ57" s="614"/>
      <c r="BK57" s="620">
        <v>3.375</v>
      </c>
    </row>
    <row r="58" spans="1:63" x14ac:dyDescent="0.2">
      <c r="A58" s="224">
        <v>968.81</v>
      </c>
      <c r="B58" s="607" t="s">
        <v>602</v>
      </c>
      <c r="C58" s="608">
        <v>1378.5</v>
      </c>
      <c r="D58" s="609"/>
      <c r="E58" s="610">
        <v>1139</v>
      </c>
      <c r="F58" s="610">
        <v>1618</v>
      </c>
      <c r="G58" s="611">
        <v>18.399999999999999</v>
      </c>
      <c r="H58" s="612"/>
      <c r="I58" s="613">
        <v>12.9</v>
      </c>
      <c r="J58" s="613">
        <v>23.9</v>
      </c>
      <c r="K58" s="614">
        <v>13.2</v>
      </c>
      <c r="L58" s="612"/>
      <c r="M58" s="612">
        <v>7</v>
      </c>
      <c r="N58" s="612">
        <v>19.399999999999999</v>
      </c>
      <c r="O58" s="614">
        <v>23.5</v>
      </c>
      <c r="P58" s="612"/>
      <c r="Q58" s="615">
        <v>19.8</v>
      </c>
      <c r="R58" s="612">
        <v>27.2</v>
      </c>
      <c r="S58" s="616"/>
      <c r="T58" s="615">
        <v>1880.5</v>
      </c>
      <c r="U58" s="610"/>
      <c r="V58" s="610">
        <v>1223</v>
      </c>
      <c r="W58" s="610">
        <v>2538</v>
      </c>
      <c r="X58" s="611">
        <v>8.15</v>
      </c>
      <c r="Y58" s="612"/>
      <c r="Z58" s="613">
        <v>5.5</v>
      </c>
      <c r="AA58" s="613">
        <v>10.8</v>
      </c>
      <c r="AB58" s="614">
        <v>4.3499999999999996</v>
      </c>
      <c r="AC58" s="612"/>
      <c r="AD58" s="612">
        <v>1.8</v>
      </c>
      <c r="AE58" s="612">
        <v>6.9</v>
      </c>
      <c r="AF58" s="614">
        <v>14.95</v>
      </c>
      <c r="AG58" s="614"/>
      <c r="AH58" s="612">
        <v>14.7</v>
      </c>
      <c r="AI58" s="617">
        <v>15.2</v>
      </c>
      <c r="AJ58" s="618"/>
      <c r="AK58" s="619">
        <v>968.81</v>
      </c>
      <c r="AL58" s="616"/>
      <c r="AM58" s="608">
        <v>1285.5</v>
      </c>
      <c r="AN58" s="608"/>
      <c r="AO58" s="608">
        <v>480.1</v>
      </c>
      <c r="AP58" s="611">
        <v>18.579999999999998</v>
      </c>
      <c r="AQ58" s="614"/>
      <c r="AR58" s="611">
        <v>5.74</v>
      </c>
      <c r="AS58" s="611">
        <v>13.8</v>
      </c>
      <c r="AT58" s="614"/>
      <c r="AU58" s="614">
        <v>6.8</v>
      </c>
      <c r="AV58" s="614">
        <v>23.56</v>
      </c>
      <c r="AW58" s="614"/>
      <c r="AX58" s="614">
        <v>4.0599999999999996</v>
      </c>
      <c r="AY58" s="616"/>
      <c r="AZ58" s="615">
        <v>1876.7</v>
      </c>
      <c r="BA58" s="615"/>
      <c r="BB58" s="608">
        <v>774.5</v>
      </c>
      <c r="BC58" s="611">
        <v>8.4499999999999993</v>
      </c>
      <c r="BD58" s="611"/>
      <c r="BE58" s="611">
        <v>3.03</v>
      </c>
      <c r="BF58" s="611">
        <v>4.2300000000000004</v>
      </c>
      <c r="BG58" s="614"/>
      <c r="BH58" s="614">
        <v>2.75</v>
      </c>
      <c r="BI58" s="614">
        <v>15.64</v>
      </c>
      <c r="BJ58" s="614"/>
      <c r="BK58" s="620">
        <v>1.64</v>
      </c>
    </row>
    <row r="59" spans="1:63" x14ac:dyDescent="0.2">
      <c r="A59" s="224">
        <v>969.005</v>
      </c>
      <c r="B59" s="607" t="s">
        <v>602</v>
      </c>
      <c r="C59" s="608">
        <v>1035</v>
      </c>
      <c r="D59" s="609"/>
      <c r="E59" s="610">
        <v>206</v>
      </c>
      <c r="F59" s="610">
        <v>1864</v>
      </c>
      <c r="G59" s="611">
        <v>17.2</v>
      </c>
      <c r="H59" s="612"/>
      <c r="I59" s="613">
        <v>10.5</v>
      </c>
      <c r="J59" s="613">
        <v>23.9</v>
      </c>
      <c r="K59" s="614">
        <v>12.25</v>
      </c>
      <c r="L59" s="612"/>
      <c r="M59" s="612">
        <v>5.0999999999999996</v>
      </c>
      <c r="N59" s="612">
        <v>19.399999999999999</v>
      </c>
      <c r="O59" s="614">
        <v>22.1</v>
      </c>
      <c r="P59" s="612"/>
      <c r="Q59" s="615">
        <v>16.3</v>
      </c>
      <c r="R59" s="612">
        <v>27.9</v>
      </c>
      <c r="S59" s="616"/>
      <c r="T59" s="615">
        <v>1603</v>
      </c>
      <c r="U59" s="610"/>
      <c r="V59" s="610">
        <v>1223</v>
      </c>
      <c r="W59" s="610">
        <v>1983</v>
      </c>
      <c r="X59" s="611">
        <v>10.45</v>
      </c>
      <c r="Y59" s="612"/>
      <c r="Z59" s="613">
        <v>10.4</v>
      </c>
      <c r="AA59" s="613">
        <v>10.5</v>
      </c>
      <c r="AB59" s="614">
        <v>6</v>
      </c>
      <c r="AC59" s="612"/>
      <c r="AD59" s="612">
        <v>5.0999999999999996</v>
      </c>
      <c r="AE59" s="612">
        <v>6.9</v>
      </c>
      <c r="AF59" s="614">
        <v>14.8</v>
      </c>
      <c r="AG59" s="614"/>
      <c r="AH59" s="612">
        <v>14.4</v>
      </c>
      <c r="AI59" s="617">
        <v>15.2</v>
      </c>
      <c r="AJ59" s="618"/>
      <c r="AK59" s="619">
        <v>969.005</v>
      </c>
      <c r="AL59" s="616"/>
      <c r="AM59" s="608">
        <v>1348</v>
      </c>
      <c r="AN59" s="608"/>
      <c r="AO59" s="608">
        <v>570</v>
      </c>
      <c r="AP59" s="611">
        <v>12.28</v>
      </c>
      <c r="AQ59" s="614"/>
      <c r="AR59" s="611">
        <v>2.17</v>
      </c>
      <c r="AS59" s="611">
        <v>7.65</v>
      </c>
      <c r="AT59" s="614"/>
      <c r="AU59" s="614">
        <v>3</v>
      </c>
      <c r="AV59" s="614">
        <v>16.91</v>
      </c>
      <c r="AW59" s="614"/>
      <c r="AX59" s="614">
        <v>1.54</v>
      </c>
      <c r="AY59" s="616"/>
      <c r="AZ59" s="615">
        <v>1573.75</v>
      </c>
      <c r="BA59" s="615"/>
      <c r="BB59" s="608">
        <v>545.15</v>
      </c>
      <c r="BC59" s="611">
        <v>10.315</v>
      </c>
      <c r="BD59" s="611"/>
      <c r="BE59" s="611">
        <v>0.44500000000000001</v>
      </c>
      <c r="BF59" s="611">
        <v>5.82</v>
      </c>
      <c r="BG59" s="614"/>
      <c r="BH59" s="614">
        <v>1.08</v>
      </c>
      <c r="BI59" s="614">
        <v>14.73</v>
      </c>
      <c r="BJ59" s="614"/>
      <c r="BK59" s="620">
        <v>-0.11999999999999922</v>
      </c>
    </row>
    <row r="60" spans="1:63" x14ac:dyDescent="0.2">
      <c r="A60" s="224">
        <v>969.20500000000004</v>
      </c>
      <c r="B60" s="607" t="s">
        <v>602</v>
      </c>
      <c r="C60" s="608"/>
      <c r="D60" s="609"/>
      <c r="E60" s="610"/>
      <c r="F60" s="610"/>
      <c r="G60" s="611"/>
      <c r="H60" s="612"/>
      <c r="I60" s="613"/>
      <c r="J60" s="613"/>
      <c r="K60" s="614"/>
      <c r="L60" s="612"/>
      <c r="M60" s="612"/>
      <c r="N60" s="612"/>
      <c r="O60" s="614"/>
      <c r="P60" s="612"/>
      <c r="Q60" s="615"/>
      <c r="R60" s="612"/>
      <c r="S60" s="616"/>
      <c r="T60" s="615"/>
      <c r="U60" s="610"/>
      <c r="V60" s="610"/>
      <c r="W60" s="610"/>
      <c r="X60" s="611"/>
      <c r="Y60" s="612"/>
      <c r="Z60" s="613"/>
      <c r="AA60" s="613"/>
      <c r="AB60" s="614"/>
      <c r="AC60" s="612"/>
      <c r="AD60" s="612"/>
      <c r="AE60" s="612"/>
      <c r="AF60" s="614"/>
      <c r="AG60" s="614"/>
      <c r="AH60" s="612"/>
      <c r="AI60" s="617"/>
      <c r="AJ60" s="618"/>
      <c r="AK60" s="619">
        <v>969.20500000000004</v>
      </c>
      <c r="AL60" s="616"/>
      <c r="AM60" s="608"/>
      <c r="AN60" s="608"/>
      <c r="AO60" s="608"/>
      <c r="AP60" s="611"/>
      <c r="AQ60" s="614"/>
      <c r="AR60" s="611"/>
      <c r="AS60" s="611"/>
      <c r="AT60" s="614"/>
      <c r="AU60" s="614"/>
      <c r="AV60" s="614"/>
      <c r="AW60" s="614"/>
      <c r="AX60" s="614"/>
      <c r="AY60" s="616"/>
      <c r="AZ60" s="615"/>
      <c r="BA60" s="615"/>
      <c r="BB60" s="608"/>
      <c r="BC60" s="611"/>
      <c r="BD60" s="611"/>
      <c r="BE60" s="611"/>
      <c r="BF60" s="611"/>
      <c r="BG60" s="614"/>
      <c r="BH60" s="614"/>
      <c r="BI60" s="614"/>
      <c r="BJ60" s="614"/>
      <c r="BK60" s="620"/>
    </row>
    <row r="61" spans="1:63" x14ac:dyDescent="0.2">
      <c r="A61" s="224">
        <v>969.40499999999997</v>
      </c>
      <c r="B61" s="607" t="s">
        <v>602</v>
      </c>
      <c r="C61" s="608">
        <v>2831</v>
      </c>
      <c r="D61" s="609"/>
      <c r="E61" s="610">
        <v>576</v>
      </c>
      <c r="F61" s="610">
        <v>5086</v>
      </c>
      <c r="G61" s="611">
        <v>17.45</v>
      </c>
      <c r="H61" s="612"/>
      <c r="I61" s="613">
        <v>9.1999999999999993</v>
      </c>
      <c r="J61" s="613">
        <v>25.7</v>
      </c>
      <c r="K61" s="614">
        <v>13.3</v>
      </c>
      <c r="L61" s="612"/>
      <c r="M61" s="612">
        <v>3.6</v>
      </c>
      <c r="N61" s="612">
        <v>23</v>
      </c>
      <c r="O61" s="614">
        <v>20.55</v>
      </c>
      <c r="P61" s="612"/>
      <c r="Q61" s="615">
        <v>13.2</v>
      </c>
      <c r="R61" s="612">
        <v>27.9</v>
      </c>
      <c r="S61" s="616"/>
      <c r="T61" s="615">
        <v>1703.5</v>
      </c>
      <c r="U61" s="610"/>
      <c r="V61" s="610">
        <v>921</v>
      </c>
      <c r="W61" s="610">
        <v>2486</v>
      </c>
      <c r="X61" s="611">
        <v>6.9</v>
      </c>
      <c r="Y61" s="612"/>
      <c r="Z61" s="613">
        <v>3.4</v>
      </c>
      <c r="AA61" s="613">
        <v>10.4</v>
      </c>
      <c r="AB61" s="614">
        <v>3.25</v>
      </c>
      <c r="AC61" s="612"/>
      <c r="AD61" s="612">
        <v>-0.4</v>
      </c>
      <c r="AE61" s="612">
        <v>6.9</v>
      </c>
      <c r="AF61" s="614">
        <v>11</v>
      </c>
      <c r="AG61" s="614"/>
      <c r="AH61" s="612">
        <v>7.6</v>
      </c>
      <c r="AI61" s="617">
        <v>14.4</v>
      </c>
      <c r="AJ61" s="618"/>
      <c r="AK61" s="619">
        <v>969.40499999999997</v>
      </c>
      <c r="AL61" s="616"/>
      <c r="AM61" s="608">
        <v>1816.25</v>
      </c>
      <c r="AN61" s="608"/>
      <c r="AO61" s="608">
        <v>929.75</v>
      </c>
      <c r="AP61" s="611">
        <v>10.275</v>
      </c>
      <c r="AQ61" s="614"/>
      <c r="AR61" s="611">
        <v>1.655</v>
      </c>
      <c r="AS61" s="611">
        <v>5.8550000000000004</v>
      </c>
      <c r="AT61" s="614"/>
      <c r="AU61" s="614">
        <v>2.6549999999999998</v>
      </c>
      <c r="AV61" s="614">
        <v>14.195</v>
      </c>
      <c r="AW61" s="614"/>
      <c r="AX61" s="614">
        <v>1.5549999999999999</v>
      </c>
      <c r="AY61" s="616"/>
      <c r="AZ61" s="615">
        <v>1703.5</v>
      </c>
      <c r="BA61" s="615"/>
      <c r="BB61" s="608">
        <v>782.5</v>
      </c>
      <c r="BC61" s="611">
        <v>6.9</v>
      </c>
      <c r="BD61" s="611"/>
      <c r="BE61" s="611">
        <v>3.5</v>
      </c>
      <c r="BF61" s="611">
        <v>3.25</v>
      </c>
      <c r="BG61" s="614"/>
      <c r="BH61" s="614">
        <v>3.65</v>
      </c>
      <c r="BI61" s="614">
        <v>11</v>
      </c>
      <c r="BJ61" s="614"/>
      <c r="BK61" s="620">
        <v>3.4</v>
      </c>
    </row>
    <row r="62" spans="1:63" x14ac:dyDescent="0.2">
      <c r="A62" s="224">
        <v>969.61</v>
      </c>
      <c r="B62" s="607" t="s">
        <v>602</v>
      </c>
      <c r="C62" s="608">
        <v>1097</v>
      </c>
      <c r="D62" s="609"/>
      <c r="E62" s="610">
        <v>576</v>
      </c>
      <c r="F62" s="610">
        <v>1618</v>
      </c>
      <c r="G62" s="611">
        <v>18.350000000000001</v>
      </c>
      <c r="H62" s="612"/>
      <c r="I62" s="613">
        <v>12.8</v>
      </c>
      <c r="J62" s="613">
        <v>23.9</v>
      </c>
      <c r="K62" s="614">
        <v>12.85</v>
      </c>
      <c r="L62" s="612"/>
      <c r="M62" s="612">
        <v>6.3</v>
      </c>
      <c r="N62" s="612">
        <v>19.399999999999999</v>
      </c>
      <c r="O62" s="614">
        <v>23.6</v>
      </c>
      <c r="P62" s="612"/>
      <c r="Q62" s="615">
        <v>19.3</v>
      </c>
      <c r="R62" s="612">
        <v>27.9</v>
      </c>
      <c r="S62" s="616"/>
      <c r="T62" s="615">
        <v>1678.5</v>
      </c>
      <c r="U62" s="610"/>
      <c r="V62" s="610">
        <v>1223</v>
      </c>
      <c r="W62" s="610">
        <v>2134</v>
      </c>
      <c r="X62" s="611">
        <v>10.65</v>
      </c>
      <c r="Y62" s="612"/>
      <c r="Z62" s="613">
        <v>10.5</v>
      </c>
      <c r="AA62" s="613">
        <v>10.8</v>
      </c>
      <c r="AB62" s="614">
        <v>6</v>
      </c>
      <c r="AC62" s="612"/>
      <c r="AD62" s="612">
        <v>5.0999999999999996</v>
      </c>
      <c r="AE62" s="612">
        <v>6.9</v>
      </c>
      <c r="AF62" s="614">
        <v>14.95</v>
      </c>
      <c r="AG62" s="614"/>
      <c r="AH62" s="612">
        <v>14.7</v>
      </c>
      <c r="AI62" s="617">
        <v>15.2</v>
      </c>
      <c r="AJ62" s="618"/>
      <c r="AK62" s="619">
        <v>969.61</v>
      </c>
      <c r="AL62" s="616"/>
      <c r="AM62" s="608">
        <v>1146.2</v>
      </c>
      <c r="AN62" s="608"/>
      <c r="AO62" s="608">
        <v>570.20000000000005</v>
      </c>
      <c r="AP62" s="611">
        <v>18.25</v>
      </c>
      <c r="AQ62" s="614"/>
      <c r="AR62" s="611">
        <v>6.37</v>
      </c>
      <c r="AS62" s="611">
        <v>13.33</v>
      </c>
      <c r="AT62" s="614"/>
      <c r="AU62" s="614">
        <v>7.51</v>
      </c>
      <c r="AV62" s="614">
        <v>23</v>
      </c>
      <c r="AW62" s="614"/>
      <c r="AX62" s="614">
        <v>4.9000000000000004</v>
      </c>
      <c r="AY62" s="616"/>
      <c r="AZ62" s="615">
        <v>1709.1</v>
      </c>
      <c r="BA62" s="615"/>
      <c r="BB62" s="608">
        <v>667.3</v>
      </c>
      <c r="BC62" s="611">
        <v>9.66</v>
      </c>
      <c r="BD62" s="611"/>
      <c r="BE62" s="611">
        <v>2.16</v>
      </c>
      <c r="BF62" s="611">
        <v>5.07</v>
      </c>
      <c r="BG62" s="614"/>
      <c r="BH62" s="614">
        <v>1.95</v>
      </c>
      <c r="BI62" s="614">
        <v>15.99</v>
      </c>
      <c r="BJ62" s="614"/>
      <c r="BK62" s="620">
        <v>2.71</v>
      </c>
    </row>
    <row r="63" spans="1:63" x14ac:dyDescent="0.2">
      <c r="A63" s="224">
        <v>969.81</v>
      </c>
      <c r="B63" s="607" t="s">
        <v>602</v>
      </c>
      <c r="C63" s="608">
        <v>962</v>
      </c>
      <c r="D63" s="608">
        <v>962</v>
      </c>
      <c r="E63" s="610">
        <v>583</v>
      </c>
      <c r="F63" s="610">
        <v>1341</v>
      </c>
      <c r="G63" s="611">
        <v>17.45</v>
      </c>
      <c r="H63" s="612">
        <v>17.45</v>
      </c>
      <c r="I63" s="613">
        <v>12.9</v>
      </c>
      <c r="J63" s="613">
        <v>22</v>
      </c>
      <c r="K63" s="614">
        <v>11.55</v>
      </c>
      <c r="L63" s="612">
        <v>11.55</v>
      </c>
      <c r="M63" s="612">
        <v>7</v>
      </c>
      <c r="N63" s="612">
        <v>16.100000000000001</v>
      </c>
      <c r="O63" s="614">
        <v>22.7</v>
      </c>
      <c r="P63" s="612">
        <v>22.7</v>
      </c>
      <c r="Q63" s="615">
        <v>17.5</v>
      </c>
      <c r="R63" s="612">
        <v>27.9</v>
      </c>
      <c r="S63" s="616"/>
      <c r="T63" s="615">
        <v>1570.5</v>
      </c>
      <c r="U63" s="615">
        <v>1570.5</v>
      </c>
      <c r="V63" s="610">
        <v>1007</v>
      </c>
      <c r="W63" s="610">
        <v>2134</v>
      </c>
      <c r="X63" s="611">
        <v>11.5</v>
      </c>
      <c r="Y63" s="612">
        <v>11.5</v>
      </c>
      <c r="Z63" s="613">
        <v>10.5</v>
      </c>
      <c r="AA63" s="613">
        <v>12.5</v>
      </c>
      <c r="AB63" s="614">
        <v>6.1</v>
      </c>
      <c r="AC63" s="612">
        <v>6.1</v>
      </c>
      <c r="AD63" s="612">
        <v>5.0999999999999996</v>
      </c>
      <c r="AE63" s="612">
        <v>7.1</v>
      </c>
      <c r="AF63" s="614">
        <v>21.4</v>
      </c>
      <c r="AG63" s="614"/>
      <c r="AH63" s="612">
        <v>15.2</v>
      </c>
      <c r="AI63" s="617">
        <v>27.6</v>
      </c>
      <c r="AJ63" s="618"/>
      <c r="AK63" s="619">
        <v>969.81</v>
      </c>
      <c r="AL63" s="616"/>
      <c r="AM63" s="608">
        <v>1119.2</v>
      </c>
      <c r="AN63" s="608">
        <v>1119.2</v>
      </c>
      <c r="AO63" s="608">
        <v>539</v>
      </c>
      <c r="AP63" s="611">
        <v>18.11</v>
      </c>
      <c r="AQ63" s="614">
        <v>18.11</v>
      </c>
      <c r="AR63" s="611">
        <v>5.37</v>
      </c>
      <c r="AS63" s="611">
        <v>12.79</v>
      </c>
      <c r="AT63" s="614">
        <v>12.79</v>
      </c>
      <c r="AU63" s="614">
        <v>6.07</v>
      </c>
      <c r="AV63" s="614">
        <v>22.42</v>
      </c>
      <c r="AW63" s="614">
        <v>22.42</v>
      </c>
      <c r="AX63" s="614">
        <v>5.48</v>
      </c>
      <c r="AY63" s="616"/>
      <c r="AZ63" s="615">
        <v>1720.75</v>
      </c>
      <c r="BA63" s="615">
        <v>1720.75</v>
      </c>
      <c r="BB63" s="608">
        <v>756.75</v>
      </c>
      <c r="BC63" s="611">
        <v>10.25</v>
      </c>
      <c r="BD63" s="611">
        <v>10.25</v>
      </c>
      <c r="BE63" s="611">
        <v>2.25</v>
      </c>
      <c r="BF63" s="611">
        <v>5.0750000000000002</v>
      </c>
      <c r="BG63" s="614">
        <v>5.0750000000000002</v>
      </c>
      <c r="BH63" s="614">
        <v>2.0249999999999999</v>
      </c>
      <c r="BI63" s="614">
        <v>20.74</v>
      </c>
      <c r="BJ63" s="614"/>
      <c r="BK63" s="620">
        <v>6.98</v>
      </c>
    </row>
    <row r="64" spans="1:63" x14ac:dyDescent="0.2">
      <c r="A64" s="224">
        <v>970.01</v>
      </c>
      <c r="B64" s="607" t="s">
        <v>602</v>
      </c>
      <c r="C64" s="608">
        <v>1097</v>
      </c>
      <c r="D64" s="609"/>
      <c r="E64" s="610">
        <v>576</v>
      </c>
      <c r="F64" s="610">
        <v>1618</v>
      </c>
      <c r="G64" s="611">
        <v>21.95</v>
      </c>
      <c r="H64" s="612"/>
      <c r="I64" s="613">
        <v>18.2</v>
      </c>
      <c r="J64" s="613">
        <v>25.7</v>
      </c>
      <c r="K64" s="614">
        <v>17.95</v>
      </c>
      <c r="L64" s="612"/>
      <c r="M64" s="612">
        <v>12.9</v>
      </c>
      <c r="N64" s="612">
        <v>23</v>
      </c>
      <c r="O64" s="614">
        <v>25.4</v>
      </c>
      <c r="P64" s="612"/>
      <c r="Q64" s="615">
        <v>22.9</v>
      </c>
      <c r="R64" s="612">
        <v>27.9</v>
      </c>
      <c r="S64" s="616"/>
      <c r="T64" s="615">
        <v>1889.5</v>
      </c>
      <c r="U64" s="610"/>
      <c r="V64" s="610">
        <v>958</v>
      </c>
      <c r="W64" s="610">
        <v>2821</v>
      </c>
      <c r="X64" s="611">
        <v>8.65</v>
      </c>
      <c r="Y64" s="612"/>
      <c r="Z64" s="613">
        <v>4.8</v>
      </c>
      <c r="AA64" s="613">
        <v>12.5</v>
      </c>
      <c r="AB64" s="614">
        <v>4.05</v>
      </c>
      <c r="AC64" s="612"/>
      <c r="AD64" s="612">
        <v>1</v>
      </c>
      <c r="AE64" s="612">
        <v>7.1</v>
      </c>
      <c r="AF64" s="614">
        <v>16.5</v>
      </c>
      <c r="AG64" s="614"/>
      <c r="AH64" s="612">
        <v>8.3000000000000007</v>
      </c>
      <c r="AI64" s="617">
        <v>24.7</v>
      </c>
      <c r="AJ64" s="618"/>
      <c r="AK64" s="619">
        <v>970.01</v>
      </c>
      <c r="AL64" s="616"/>
      <c r="AM64" s="608">
        <v>1278.7</v>
      </c>
      <c r="AN64" s="608"/>
      <c r="AO64" s="608">
        <v>705.3</v>
      </c>
      <c r="AP64" s="611">
        <v>21.57</v>
      </c>
      <c r="AQ64" s="614"/>
      <c r="AR64" s="611">
        <v>4.45</v>
      </c>
      <c r="AS64" s="611">
        <v>17.440000000000001</v>
      </c>
      <c r="AT64" s="614"/>
      <c r="AU64" s="614">
        <v>5.86</v>
      </c>
      <c r="AV64" s="614">
        <v>25.34</v>
      </c>
      <c r="AW64" s="614"/>
      <c r="AX64" s="614">
        <v>3.16</v>
      </c>
      <c r="AY64" s="616"/>
      <c r="AZ64" s="615">
        <v>2047.6</v>
      </c>
      <c r="BA64" s="615"/>
      <c r="BB64" s="608">
        <v>1097</v>
      </c>
      <c r="BC64" s="611">
        <v>9.6199999999999992</v>
      </c>
      <c r="BD64" s="611"/>
      <c r="BE64" s="611">
        <v>5.08</v>
      </c>
      <c r="BF64" s="611">
        <v>4.5</v>
      </c>
      <c r="BG64" s="614"/>
      <c r="BH64" s="614">
        <v>3.64</v>
      </c>
      <c r="BI64" s="614">
        <v>16.785</v>
      </c>
      <c r="BJ64" s="614"/>
      <c r="BK64" s="620">
        <v>8.4849999999999994</v>
      </c>
    </row>
    <row r="65" spans="1:63" x14ac:dyDescent="0.2">
      <c r="A65" s="224">
        <v>970.21</v>
      </c>
      <c r="B65" s="607" t="s">
        <v>602</v>
      </c>
      <c r="C65" s="608">
        <v>1097</v>
      </c>
      <c r="D65" s="609"/>
      <c r="E65" s="610">
        <v>576</v>
      </c>
      <c r="F65" s="610">
        <v>1618</v>
      </c>
      <c r="G65" s="611">
        <v>19.7</v>
      </c>
      <c r="H65" s="612"/>
      <c r="I65" s="613">
        <v>18.2</v>
      </c>
      <c r="J65" s="613">
        <v>21.2</v>
      </c>
      <c r="K65" s="614">
        <v>14.65</v>
      </c>
      <c r="L65" s="612"/>
      <c r="M65" s="612">
        <v>12.9</v>
      </c>
      <c r="N65" s="612">
        <v>16.399999999999999</v>
      </c>
      <c r="O65" s="614">
        <v>25.4</v>
      </c>
      <c r="P65" s="612"/>
      <c r="Q65" s="615">
        <v>22.9</v>
      </c>
      <c r="R65" s="612">
        <v>27.9</v>
      </c>
      <c r="S65" s="616"/>
      <c r="T65" s="615">
        <v>1527.5</v>
      </c>
      <c r="U65" s="610"/>
      <c r="V65" s="610">
        <v>921</v>
      </c>
      <c r="W65" s="610">
        <v>2134</v>
      </c>
      <c r="X65" s="611">
        <v>10.45</v>
      </c>
      <c r="Y65" s="612"/>
      <c r="Z65" s="613">
        <v>10.4</v>
      </c>
      <c r="AA65" s="613">
        <v>10.5</v>
      </c>
      <c r="AB65" s="614">
        <v>6</v>
      </c>
      <c r="AC65" s="612"/>
      <c r="AD65" s="612">
        <v>5.0999999999999996</v>
      </c>
      <c r="AE65" s="612">
        <v>6.9</v>
      </c>
      <c r="AF65" s="614">
        <v>14.8</v>
      </c>
      <c r="AG65" s="614"/>
      <c r="AH65" s="612">
        <v>14.4</v>
      </c>
      <c r="AI65" s="617">
        <v>15.2</v>
      </c>
      <c r="AJ65" s="618"/>
      <c r="AK65" s="619">
        <v>970.21</v>
      </c>
      <c r="AL65" s="616"/>
      <c r="AM65" s="608">
        <v>1154.7</v>
      </c>
      <c r="AN65" s="608"/>
      <c r="AO65" s="608">
        <v>475.2</v>
      </c>
      <c r="AP65" s="611">
        <v>16.75</v>
      </c>
      <c r="AQ65" s="614"/>
      <c r="AR65" s="611">
        <v>1.21</v>
      </c>
      <c r="AS65" s="611">
        <v>11.44</v>
      </c>
      <c r="AT65" s="614"/>
      <c r="AU65" s="614">
        <v>2.11</v>
      </c>
      <c r="AV65" s="614">
        <v>22.114999999999998</v>
      </c>
      <c r="AW65" s="614"/>
      <c r="AX65" s="614">
        <v>1.7350000000000001</v>
      </c>
      <c r="AY65" s="616"/>
      <c r="AZ65" s="615">
        <v>1633.1</v>
      </c>
      <c r="BA65" s="615"/>
      <c r="BB65" s="608">
        <v>712.1</v>
      </c>
      <c r="BC65" s="611">
        <v>9.58</v>
      </c>
      <c r="BD65" s="611"/>
      <c r="BE65" s="611">
        <v>2.08</v>
      </c>
      <c r="BF65" s="611">
        <v>4.83</v>
      </c>
      <c r="BG65" s="614"/>
      <c r="BH65" s="614">
        <v>2.19</v>
      </c>
      <c r="BI65" s="614">
        <v>15.9</v>
      </c>
      <c r="BJ65" s="614"/>
      <c r="BK65" s="620">
        <v>2.62</v>
      </c>
    </row>
    <row r="66" spans="1:63" x14ac:dyDescent="0.2">
      <c r="A66" s="224">
        <v>970.41</v>
      </c>
      <c r="B66" s="607" t="s">
        <v>602</v>
      </c>
      <c r="C66" s="608">
        <v>1100.5</v>
      </c>
      <c r="D66" s="608">
        <v>1100.5</v>
      </c>
      <c r="E66" s="610">
        <v>583</v>
      </c>
      <c r="F66" s="610">
        <v>1618</v>
      </c>
      <c r="G66" s="611">
        <v>18.399999999999999</v>
      </c>
      <c r="H66" s="612">
        <v>18.399999999999999</v>
      </c>
      <c r="I66" s="613">
        <v>12.9</v>
      </c>
      <c r="J66" s="613">
        <v>23.9</v>
      </c>
      <c r="K66" s="614">
        <v>13.2</v>
      </c>
      <c r="L66" s="612">
        <v>13.2</v>
      </c>
      <c r="M66" s="612">
        <v>7</v>
      </c>
      <c r="N66" s="612">
        <v>19.399999999999999</v>
      </c>
      <c r="O66" s="614">
        <v>23.6</v>
      </c>
      <c r="P66" s="612">
        <v>23.6</v>
      </c>
      <c r="Q66" s="615">
        <v>19.3</v>
      </c>
      <c r="R66" s="612">
        <v>27.9</v>
      </c>
      <c r="S66" s="616"/>
      <c r="T66" s="615">
        <v>1452</v>
      </c>
      <c r="U66" s="615">
        <v>1452</v>
      </c>
      <c r="V66" s="610">
        <v>921</v>
      </c>
      <c r="W66" s="610">
        <v>1983</v>
      </c>
      <c r="X66" s="611">
        <v>10.45</v>
      </c>
      <c r="Y66" s="612">
        <v>10.45</v>
      </c>
      <c r="Z66" s="613">
        <v>10.4</v>
      </c>
      <c r="AA66" s="613">
        <v>10.5</v>
      </c>
      <c r="AB66" s="614">
        <v>6</v>
      </c>
      <c r="AC66" s="612">
        <v>6</v>
      </c>
      <c r="AD66" s="612">
        <v>5.0999999999999996</v>
      </c>
      <c r="AE66" s="612">
        <v>6.9</v>
      </c>
      <c r="AF66" s="614">
        <v>14.8</v>
      </c>
      <c r="AG66" s="614">
        <v>14.8</v>
      </c>
      <c r="AH66" s="612">
        <v>14.4</v>
      </c>
      <c r="AI66" s="617">
        <v>15.2</v>
      </c>
      <c r="AJ66" s="618"/>
      <c r="AK66" s="619">
        <v>970.41</v>
      </c>
      <c r="AL66" s="616"/>
      <c r="AM66" s="608">
        <v>1241.9000000000001</v>
      </c>
      <c r="AN66" s="608">
        <v>1241.9000000000001</v>
      </c>
      <c r="AO66" s="608">
        <v>523.70000000000005</v>
      </c>
      <c r="AP66" s="611">
        <v>15.67</v>
      </c>
      <c r="AQ66" s="614">
        <v>15.67</v>
      </c>
      <c r="AR66" s="611">
        <v>2.83</v>
      </c>
      <c r="AS66" s="611">
        <v>10.49</v>
      </c>
      <c r="AT66" s="614">
        <v>10.49</v>
      </c>
      <c r="AU66" s="614">
        <v>3.91</v>
      </c>
      <c r="AV66" s="614">
        <v>20.36</v>
      </c>
      <c r="AW66" s="614">
        <v>20.36</v>
      </c>
      <c r="AX66" s="614">
        <v>2.14</v>
      </c>
      <c r="AY66" s="616"/>
      <c r="AZ66" s="615">
        <v>1497.3</v>
      </c>
      <c r="BA66" s="615">
        <v>1497.3</v>
      </c>
      <c r="BB66" s="608">
        <v>576.29999999999995</v>
      </c>
      <c r="BC66" s="611">
        <v>10.87</v>
      </c>
      <c r="BD66" s="611">
        <v>10.87</v>
      </c>
      <c r="BE66" s="611">
        <v>0.79000000000000092</v>
      </c>
      <c r="BF66" s="611">
        <v>5.94</v>
      </c>
      <c r="BG66" s="614">
        <v>5.94</v>
      </c>
      <c r="BH66" s="614">
        <v>1.08</v>
      </c>
      <c r="BI66" s="614">
        <v>17.34</v>
      </c>
      <c r="BJ66" s="614">
        <v>17.34</v>
      </c>
      <c r="BK66" s="620">
        <v>2.34</v>
      </c>
    </row>
    <row r="67" spans="1:63" x14ac:dyDescent="0.2">
      <c r="A67" s="224">
        <v>970.70500000000004</v>
      </c>
      <c r="B67" s="607" t="s">
        <v>602</v>
      </c>
      <c r="C67" s="608">
        <v>1220</v>
      </c>
      <c r="D67" s="608">
        <v>1220</v>
      </c>
      <c r="E67" s="610">
        <v>576</v>
      </c>
      <c r="F67" s="610">
        <v>1864</v>
      </c>
      <c r="G67" s="611">
        <v>18.399999999999999</v>
      </c>
      <c r="H67" s="614">
        <v>18.399999999999999</v>
      </c>
      <c r="I67" s="613">
        <v>12.9</v>
      </c>
      <c r="J67" s="613">
        <v>23.9</v>
      </c>
      <c r="K67" s="614">
        <v>13.2</v>
      </c>
      <c r="L67" s="614">
        <v>13.2</v>
      </c>
      <c r="M67" s="612">
        <v>7</v>
      </c>
      <c r="N67" s="612">
        <v>19.399999999999999</v>
      </c>
      <c r="O67" s="614">
        <v>22.7</v>
      </c>
      <c r="P67" s="614">
        <v>22.7</v>
      </c>
      <c r="Q67" s="615">
        <v>17.5</v>
      </c>
      <c r="R67" s="612">
        <v>27.9</v>
      </c>
      <c r="S67" s="616"/>
      <c r="T67" s="615">
        <v>1678.5</v>
      </c>
      <c r="U67" s="615">
        <v>1678.5</v>
      </c>
      <c r="V67" s="610">
        <v>1223</v>
      </c>
      <c r="W67" s="610">
        <v>2134</v>
      </c>
      <c r="X67" s="611">
        <v>10.45</v>
      </c>
      <c r="Y67" s="612">
        <v>10.45</v>
      </c>
      <c r="Z67" s="613">
        <v>10.4</v>
      </c>
      <c r="AA67" s="613">
        <v>10.5</v>
      </c>
      <c r="AB67" s="614">
        <v>6</v>
      </c>
      <c r="AC67" s="612">
        <v>6</v>
      </c>
      <c r="AD67" s="612">
        <v>5.0999999999999996</v>
      </c>
      <c r="AE67" s="612">
        <v>6.9</v>
      </c>
      <c r="AF67" s="614">
        <v>14.8</v>
      </c>
      <c r="AG67" s="614">
        <v>14.8</v>
      </c>
      <c r="AH67" s="612">
        <v>14.4</v>
      </c>
      <c r="AI67" s="617">
        <v>15.2</v>
      </c>
      <c r="AJ67" s="618"/>
      <c r="AK67" s="619">
        <v>970.70500000000004</v>
      </c>
      <c r="AL67" s="616"/>
      <c r="AM67" s="608">
        <v>1377.5</v>
      </c>
      <c r="AN67" s="608">
        <v>1377.5</v>
      </c>
      <c r="AO67" s="608">
        <v>594.5</v>
      </c>
      <c r="AP67" s="611">
        <v>14.98</v>
      </c>
      <c r="AQ67" s="614">
        <v>14.98</v>
      </c>
      <c r="AR67" s="611">
        <v>3.52</v>
      </c>
      <c r="AS67" s="611">
        <v>10.130000000000001</v>
      </c>
      <c r="AT67" s="614">
        <v>10.130000000000001</v>
      </c>
      <c r="AU67" s="614">
        <v>4.2699999999999996</v>
      </c>
      <c r="AV67" s="614">
        <v>19.64</v>
      </c>
      <c r="AW67" s="614">
        <v>19.64</v>
      </c>
      <c r="AX67" s="614">
        <v>2.86</v>
      </c>
      <c r="AY67" s="616"/>
      <c r="AZ67" s="615">
        <v>1696</v>
      </c>
      <c r="BA67" s="615">
        <v>1696</v>
      </c>
      <c r="BB67" s="608">
        <v>684.4</v>
      </c>
      <c r="BC67" s="611">
        <v>8.3800000000000008</v>
      </c>
      <c r="BD67" s="611">
        <v>8.3800000000000008</v>
      </c>
      <c r="BE67" s="611">
        <v>2.38</v>
      </c>
      <c r="BF67" s="611">
        <v>4.5149999999999997</v>
      </c>
      <c r="BG67" s="614">
        <v>4.5149999999999997</v>
      </c>
      <c r="BH67" s="614">
        <v>2.3849999999999998</v>
      </c>
      <c r="BI67" s="614">
        <v>13.225</v>
      </c>
      <c r="BJ67" s="614">
        <v>13.225</v>
      </c>
      <c r="BK67" s="620">
        <v>1.385</v>
      </c>
    </row>
    <row r="68" spans="1:63" x14ac:dyDescent="0.2">
      <c r="A68" s="224">
        <v>971.11</v>
      </c>
      <c r="B68" s="607" t="s">
        <v>602</v>
      </c>
      <c r="C68" s="608">
        <v>1355</v>
      </c>
      <c r="D68" s="609"/>
      <c r="E68" s="610">
        <v>576</v>
      </c>
      <c r="F68" s="610">
        <v>2134</v>
      </c>
      <c r="G68" s="611">
        <v>18.100000000000001</v>
      </c>
      <c r="H68" s="612"/>
      <c r="I68" s="613">
        <v>10.5</v>
      </c>
      <c r="J68" s="613">
        <v>25.7</v>
      </c>
      <c r="K68" s="614">
        <v>14.05</v>
      </c>
      <c r="L68" s="612"/>
      <c r="M68" s="612">
        <v>5.0999999999999996</v>
      </c>
      <c r="N68" s="612">
        <v>23</v>
      </c>
      <c r="O68" s="614">
        <v>20.55</v>
      </c>
      <c r="P68" s="612"/>
      <c r="Q68" s="615">
        <v>13.2</v>
      </c>
      <c r="R68" s="612">
        <v>27.9</v>
      </c>
      <c r="S68" s="616"/>
      <c r="T68" s="615">
        <v>1141.5</v>
      </c>
      <c r="U68" s="610"/>
      <c r="V68" s="610">
        <v>149</v>
      </c>
      <c r="W68" s="610">
        <v>2134</v>
      </c>
      <c r="X68" s="611">
        <v>18.899999999999999</v>
      </c>
      <c r="Y68" s="612"/>
      <c r="Z68" s="613">
        <v>10.5</v>
      </c>
      <c r="AA68" s="613">
        <v>27.3</v>
      </c>
      <c r="AB68" s="614">
        <v>14.8</v>
      </c>
      <c r="AC68" s="612"/>
      <c r="AD68" s="612">
        <v>5.0999999999999996</v>
      </c>
      <c r="AE68" s="612">
        <v>24.5</v>
      </c>
      <c r="AF68" s="614">
        <v>19.850000000000001</v>
      </c>
      <c r="AG68" s="614"/>
      <c r="AH68" s="612">
        <v>10.4</v>
      </c>
      <c r="AI68" s="617">
        <v>29.3</v>
      </c>
      <c r="AJ68" s="618"/>
      <c r="AK68" s="619">
        <v>971.11</v>
      </c>
      <c r="AL68" s="616"/>
      <c r="AM68" s="608">
        <v>1481.25</v>
      </c>
      <c r="AN68" s="608"/>
      <c r="AO68" s="608">
        <v>947.95</v>
      </c>
      <c r="AP68" s="611">
        <v>18.114999999999998</v>
      </c>
      <c r="AQ68" s="614"/>
      <c r="AR68" s="611">
        <v>7.7450000000000001</v>
      </c>
      <c r="AS68" s="611">
        <v>14.05</v>
      </c>
      <c r="AT68" s="614"/>
      <c r="AU68" s="614">
        <v>9.1</v>
      </c>
      <c r="AV68" s="614">
        <v>20.48</v>
      </c>
      <c r="AW68" s="614"/>
      <c r="AX68" s="614">
        <v>7.56</v>
      </c>
      <c r="AY68" s="616"/>
      <c r="AZ68" s="615">
        <v>1141.5</v>
      </c>
      <c r="BA68" s="615"/>
      <c r="BB68" s="608">
        <v>992.5</v>
      </c>
      <c r="BC68" s="611">
        <v>18.899999999999999</v>
      </c>
      <c r="BD68" s="611"/>
      <c r="BE68" s="611">
        <v>8.4</v>
      </c>
      <c r="BF68" s="611">
        <v>14.8</v>
      </c>
      <c r="BG68" s="614"/>
      <c r="BH68" s="614">
        <v>9.6999999999999993</v>
      </c>
      <c r="BI68" s="614">
        <v>19.850000000000001</v>
      </c>
      <c r="BJ68" s="614"/>
      <c r="BK68" s="620">
        <v>9.4499999999999993</v>
      </c>
    </row>
    <row r="69" spans="1:63" x14ac:dyDescent="0.2">
      <c r="A69" s="224">
        <v>971.61</v>
      </c>
      <c r="B69" s="607" t="s">
        <v>602</v>
      </c>
      <c r="C69" s="608">
        <v>1109</v>
      </c>
      <c r="D69" s="609"/>
      <c r="E69" s="610">
        <v>583</v>
      </c>
      <c r="F69" s="610">
        <v>1635</v>
      </c>
      <c r="G69" s="611">
        <v>17.8</v>
      </c>
      <c r="H69" s="612"/>
      <c r="I69" s="613">
        <v>14.4</v>
      </c>
      <c r="J69" s="613">
        <v>21.2</v>
      </c>
      <c r="K69" s="614">
        <v>12.1</v>
      </c>
      <c r="L69" s="612"/>
      <c r="M69" s="612">
        <v>7.8</v>
      </c>
      <c r="N69" s="612">
        <v>16.399999999999999</v>
      </c>
      <c r="O69" s="614">
        <v>22.75</v>
      </c>
      <c r="P69" s="612"/>
      <c r="Q69" s="615">
        <v>17.600000000000001</v>
      </c>
      <c r="R69" s="612">
        <v>27.9</v>
      </c>
      <c r="S69" s="616"/>
      <c r="T69" s="615">
        <v>1746.5</v>
      </c>
      <c r="U69" s="610"/>
      <c r="V69" s="610">
        <v>1007</v>
      </c>
      <c r="W69" s="610">
        <v>2486</v>
      </c>
      <c r="X69" s="611">
        <v>7.95</v>
      </c>
      <c r="Y69" s="612"/>
      <c r="Z69" s="613">
        <v>5.5</v>
      </c>
      <c r="AA69" s="613">
        <v>10.4</v>
      </c>
      <c r="AB69" s="614">
        <v>3.6</v>
      </c>
      <c r="AC69" s="612"/>
      <c r="AD69" s="612">
        <v>0.3</v>
      </c>
      <c r="AE69" s="612">
        <v>6.9</v>
      </c>
      <c r="AF69" s="614">
        <v>14.8</v>
      </c>
      <c r="AG69" s="614"/>
      <c r="AH69" s="612">
        <v>14.4</v>
      </c>
      <c r="AI69" s="617">
        <v>15.2</v>
      </c>
      <c r="AJ69" s="618"/>
      <c r="AK69" s="619">
        <v>971.61</v>
      </c>
      <c r="AL69" s="616"/>
      <c r="AM69" s="608">
        <v>1406.25</v>
      </c>
      <c r="AN69" s="608"/>
      <c r="AO69" s="608">
        <v>654.25</v>
      </c>
      <c r="AP69" s="611">
        <v>14.725</v>
      </c>
      <c r="AQ69" s="614"/>
      <c r="AR69" s="611">
        <v>1.075</v>
      </c>
      <c r="AS69" s="611">
        <v>9.5250000000000004</v>
      </c>
      <c r="AT69" s="614"/>
      <c r="AU69" s="614">
        <v>2.125</v>
      </c>
      <c r="AV69" s="614">
        <v>19.350000000000001</v>
      </c>
      <c r="AW69" s="614"/>
      <c r="AX69" s="614">
        <v>1.8</v>
      </c>
      <c r="AY69" s="616"/>
      <c r="AZ69" s="615">
        <v>1796.3</v>
      </c>
      <c r="BA69" s="615"/>
      <c r="BB69" s="608">
        <v>823.7</v>
      </c>
      <c r="BC69" s="611">
        <v>8.01</v>
      </c>
      <c r="BD69" s="611"/>
      <c r="BE69" s="611">
        <v>3.23</v>
      </c>
      <c r="BF69" s="611">
        <v>3.64</v>
      </c>
      <c r="BG69" s="614"/>
      <c r="BH69" s="614">
        <v>3.34</v>
      </c>
      <c r="BI69" s="614">
        <v>15.31</v>
      </c>
      <c r="BJ69" s="614"/>
      <c r="BK69" s="620">
        <v>2.1800000000000002</v>
      </c>
    </row>
    <row r="70" spans="1:63" x14ac:dyDescent="0.2">
      <c r="A70" s="224">
        <v>971.91</v>
      </c>
      <c r="B70" s="607" t="s">
        <v>602</v>
      </c>
      <c r="C70" s="608">
        <v>1105.5</v>
      </c>
      <c r="D70" s="609"/>
      <c r="E70" s="610">
        <v>576</v>
      </c>
      <c r="F70" s="610">
        <v>1635</v>
      </c>
      <c r="G70" s="611">
        <v>17.8</v>
      </c>
      <c r="H70" s="612"/>
      <c r="I70" s="613">
        <v>14.4</v>
      </c>
      <c r="J70" s="613">
        <v>21.2</v>
      </c>
      <c r="K70" s="614">
        <v>12.1</v>
      </c>
      <c r="L70" s="612"/>
      <c r="M70" s="612">
        <v>7.8</v>
      </c>
      <c r="N70" s="612">
        <v>16.399999999999999</v>
      </c>
      <c r="O70" s="614">
        <v>22.75</v>
      </c>
      <c r="P70" s="612"/>
      <c r="Q70" s="615">
        <v>17.600000000000001</v>
      </c>
      <c r="R70" s="612">
        <v>27.9</v>
      </c>
      <c r="S70" s="616"/>
      <c r="T70" s="615">
        <v>1889.5</v>
      </c>
      <c r="U70" s="610"/>
      <c r="V70" s="610">
        <v>958</v>
      </c>
      <c r="W70" s="610">
        <v>2821</v>
      </c>
      <c r="X70" s="611">
        <v>9</v>
      </c>
      <c r="Y70" s="612"/>
      <c r="Z70" s="613">
        <v>5.5</v>
      </c>
      <c r="AA70" s="613">
        <v>12.5</v>
      </c>
      <c r="AB70" s="614">
        <v>3.7</v>
      </c>
      <c r="AC70" s="612"/>
      <c r="AD70" s="612">
        <v>0.3</v>
      </c>
      <c r="AE70" s="612">
        <v>7.1</v>
      </c>
      <c r="AF70" s="614">
        <v>19.95</v>
      </c>
      <c r="AG70" s="614"/>
      <c r="AH70" s="612">
        <v>15.2</v>
      </c>
      <c r="AI70" s="617">
        <v>24.7</v>
      </c>
      <c r="AJ70" s="618"/>
      <c r="AK70" s="619">
        <v>971.91</v>
      </c>
      <c r="AL70" s="616"/>
      <c r="AM70" s="608">
        <v>1106.3</v>
      </c>
      <c r="AN70" s="608"/>
      <c r="AO70" s="608">
        <v>574.5</v>
      </c>
      <c r="AP70" s="611">
        <v>17.55</v>
      </c>
      <c r="AQ70" s="614"/>
      <c r="AR70" s="611">
        <v>4.1900000000000004</v>
      </c>
      <c r="AS70" s="611">
        <v>11.98</v>
      </c>
      <c r="AT70" s="614"/>
      <c r="AU70" s="614">
        <v>5.0199999999999996</v>
      </c>
      <c r="AV70" s="614">
        <v>22.65</v>
      </c>
      <c r="AW70" s="614"/>
      <c r="AX70" s="614">
        <v>5.31</v>
      </c>
      <c r="AY70" s="616"/>
      <c r="AZ70" s="615">
        <v>1882.1</v>
      </c>
      <c r="BA70" s="615"/>
      <c r="BB70" s="608">
        <v>938.9</v>
      </c>
      <c r="BC70" s="611">
        <v>8.86</v>
      </c>
      <c r="BD70" s="611"/>
      <c r="BE70" s="611">
        <v>3.64</v>
      </c>
      <c r="BF70" s="611">
        <v>3.7</v>
      </c>
      <c r="BG70" s="614"/>
      <c r="BH70" s="614">
        <v>3.4</v>
      </c>
      <c r="BI70" s="614">
        <v>19.75</v>
      </c>
      <c r="BJ70" s="614"/>
      <c r="BK70" s="620">
        <v>5.24</v>
      </c>
    </row>
    <row r="71" spans="1:63" x14ac:dyDescent="0.2">
      <c r="A71" s="224">
        <v>972.11</v>
      </c>
      <c r="B71" s="607" t="s">
        <v>602</v>
      </c>
      <c r="C71" s="608">
        <v>962</v>
      </c>
      <c r="D71" s="609"/>
      <c r="E71" s="610">
        <v>583</v>
      </c>
      <c r="F71" s="610">
        <v>1341</v>
      </c>
      <c r="G71" s="611">
        <v>17.45</v>
      </c>
      <c r="H71" s="612"/>
      <c r="I71" s="613">
        <v>12.9</v>
      </c>
      <c r="J71" s="613">
        <v>22</v>
      </c>
      <c r="K71" s="614">
        <v>11.55</v>
      </c>
      <c r="L71" s="612"/>
      <c r="M71" s="612">
        <v>7</v>
      </c>
      <c r="N71" s="612">
        <v>16.100000000000001</v>
      </c>
      <c r="O71" s="614">
        <v>23.6</v>
      </c>
      <c r="P71" s="612"/>
      <c r="Q71" s="615">
        <v>19.3</v>
      </c>
      <c r="R71" s="612">
        <v>27.9</v>
      </c>
      <c r="S71" s="616"/>
      <c r="T71" s="615">
        <v>1678.5</v>
      </c>
      <c r="U71" s="610"/>
      <c r="V71" s="610">
        <v>1223</v>
      </c>
      <c r="W71" s="610">
        <v>2134</v>
      </c>
      <c r="X71" s="611">
        <v>10.45</v>
      </c>
      <c r="Y71" s="612"/>
      <c r="Z71" s="613">
        <v>10.4</v>
      </c>
      <c r="AA71" s="613">
        <v>10.5</v>
      </c>
      <c r="AB71" s="614">
        <v>6</v>
      </c>
      <c r="AC71" s="612"/>
      <c r="AD71" s="612">
        <v>5.0999999999999996</v>
      </c>
      <c r="AE71" s="612">
        <v>6.9</v>
      </c>
      <c r="AF71" s="614">
        <v>14.8</v>
      </c>
      <c r="AG71" s="614"/>
      <c r="AH71" s="612">
        <v>14.4</v>
      </c>
      <c r="AI71" s="617">
        <v>15.2</v>
      </c>
      <c r="AJ71" s="618"/>
      <c r="AK71" s="619">
        <v>972.11</v>
      </c>
      <c r="AL71" s="616"/>
      <c r="AM71" s="608">
        <v>1109.6500000000001</v>
      </c>
      <c r="AN71" s="608"/>
      <c r="AO71" s="608">
        <v>425.25</v>
      </c>
      <c r="AP71" s="611">
        <v>15.675000000000001</v>
      </c>
      <c r="AQ71" s="614"/>
      <c r="AR71" s="611">
        <v>2.8450000000000002</v>
      </c>
      <c r="AS71" s="611">
        <v>9.9250000000000007</v>
      </c>
      <c r="AT71" s="614"/>
      <c r="AU71" s="614">
        <v>3.415</v>
      </c>
      <c r="AV71" s="614">
        <v>20.945</v>
      </c>
      <c r="AW71" s="614"/>
      <c r="AX71" s="614">
        <v>2.9049999999999998</v>
      </c>
      <c r="AY71" s="616"/>
      <c r="AZ71" s="615">
        <v>1726.1</v>
      </c>
      <c r="BA71" s="615"/>
      <c r="BB71" s="608">
        <v>654.29999999999995</v>
      </c>
      <c r="BC71" s="611">
        <v>8.84</v>
      </c>
      <c r="BD71" s="611"/>
      <c r="BE71" s="611">
        <v>1.84</v>
      </c>
      <c r="BF71" s="611">
        <v>4.8449999999999998</v>
      </c>
      <c r="BG71" s="614"/>
      <c r="BH71" s="614">
        <v>2.0550000000000002</v>
      </c>
      <c r="BI71" s="614">
        <v>13.675000000000001</v>
      </c>
      <c r="BJ71" s="614"/>
      <c r="BK71" s="620">
        <v>0.875</v>
      </c>
    </row>
    <row r="72" spans="1:63" x14ac:dyDescent="0.2">
      <c r="A72" s="224">
        <v>972.31</v>
      </c>
      <c r="B72" s="607" t="s">
        <v>602</v>
      </c>
      <c r="C72" s="608">
        <v>1097</v>
      </c>
      <c r="D72" s="609"/>
      <c r="E72" s="610">
        <v>576</v>
      </c>
      <c r="F72" s="610">
        <v>1618</v>
      </c>
      <c r="G72" s="611">
        <v>19.25</v>
      </c>
      <c r="H72" s="612"/>
      <c r="I72" s="613">
        <v>12.8</v>
      </c>
      <c r="J72" s="613">
        <v>25.7</v>
      </c>
      <c r="K72" s="614">
        <v>14.65</v>
      </c>
      <c r="L72" s="612"/>
      <c r="M72" s="612">
        <v>6.3</v>
      </c>
      <c r="N72" s="612">
        <v>23</v>
      </c>
      <c r="O72" s="614">
        <v>23.6</v>
      </c>
      <c r="P72" s="612"/>
      <c r="Q72" s="615">
        <v>19.3</v>
      </c>
      <c r="R72" s="612">
        <v>27.9</v>
      </c>
      <c r="S72" s="616"/>
      <c r="T72" s="615">
        <v>1914</v>
      </c>
      <c r="U72" s="610"/>
      <c r="V72" s="610">
        <v>1007</v>
      </c>
      <c r="W72" s="610">
        <v>2821</v>
      </c>
      <c r="X72" s="611">
        <v>9</v>
      </c>
      <c r="Y72" s="612"/>
      <c r="Z72" s="613">
        <v>5.5</v>
      </c>
      <c r="AA72" s="613">
        <v>12.5</v>
      </c>
      <c r="AB72" s="614">
        <v>3.7</v>
      </c>
      <c r="AC72" s="612"/>
      <c r="AD72" s="612">
        <v>0.3</v>
      </c>
      <c r="AE72" s="612">
        <v>7.1</v>
      </c>
      <c r="AF72" s="614">
        <v>19.95</v>
      </c>
      <c r="AG72" s="614"/>
      <c r="AH72" s="612">
        <v>15.2</v>
      </c>
      <c r="AI72" s="617">
        <v>24.7</v>
      </c>
      <c r="AJ72" s="618"/>
      <c r="AK72" s="619">
        <v>972.31</v>
      </c>
      <c r="AL72" s="616"/>
      <c r="AM72" s="608">
        <v>1443.8</v>
      </c>
      <c r="AN72" s="608"/>
      <c r="AO72" s="608">
        <v>867.8</v>
      </c>
      <c r="AP72" s="611">
        <v>18.89</v>
      </c>
      <c r="AQ72" s="614"/>
      <c r="AR72" s="611">
        <v>6.81</v>
      </c>
      <c r="AS72" s="611">
        <v>14.38</v>
      </c>
      <c r="AT72" s="614"/>
      <c r="AU72" s="614">
        <v>8.6199999999999992</v>
      </c>
      <c r="AV72" s="614">
        <v>22.99</v>
      </c>
      <c r="AW72" s="614"/>
      <c r="AX72" s="614">
        <v>4.91</v>
      </c>
      <c r="AY72" s="616"/>
      <c r="AZ72" s="615">
        <v>2060.1999999999998</v>
      </c>
      <c r="BA72" s="615"/>
      <c r="BB72" s="608">
        <v>1072.8</v>
      </c>
      <c r="BC72" s="611">
        <v>10.84</v>
      </c>
      <c r="BD72" s="611"/>
      <c r="BE72" s="611">
        <v>6.06</v>
      </c>
      <c r="BF72" s="611">
        <v>4.74</v>
      </c>
      <c r="BG72" s="614"/>
      <c r="BH72" s="614">
        <v>4.4400000000000004</v>
      </c>
      <c r="BI72" s="614">
        <v>18.914999999999999</v>
      </c>
      <c r="BJ72" s="614"/>
      <c r="BK72" s="620">
        <v>5.7850000000000001</v>
      </c>
    </row>
    <row r="73" spans="1:63" x14ac:dyDescent="0.2">
      <c r="A73" s="224">
        <v>972.61</v>
      </c>
      <c r="B73" s="607" t="s">
        <v>602</v>
      </c>
      <c r="C73" s="608">
        <v>2831</v>
      </c>
      <c r="D73" s="609"/>
      <c r="E73" s="610">
        <v>576</v>
      </c>
      <c r="F73" s="610">
        <v>5086</v>
      </c>
      <c r="G73" s="611">
        <v>17.45</v>
      </c>
      <c r="H73" s="612"/>
      <c r="I73" s="613">
        <v>9.1999999999999993</v>
      </c>
      <c r="J73" s="613">
        <v>25.7</v>
      </c>
      <c r="K73" s="614">
        <v>13.3</v>
      </c>
      <c r="L73" s="612"/>
      <c r="M73" s="612">
        <v>3.6</v>
      </c>
      <c r="N73" s="612">
        <v>23</v>
      </c>
      <c r="O73" s="614">
        <v>20.55</v>
      </c>
      <c r="P73" s="612"/>
      <c r="Q73" s="615">
        <v>13.2</v>
      </c>
      <c r="R73" s="612">
        <v>27.9</v>
      </c>
      <c r="S73" s="616"/>
      <c r="T73" s="615">
        <v>2304</v>
      </c>
      <c r="U73" s="610"/>
      <c r="V73" s="610">
        <v>1007</v>
      </c>
      <c r="W73" s="610">
        <v>3601</v>
      </c>
      <c r="X73" s="611">
        <v>15.6</v>
      </c>
      <c r="Y73" s="612"/>
      <c r="Z73" s="613">
        <v>5.5</v>
      </c>
      <c r="AA73" s="613">
        <v>25.7</v>
      </c>
      <c r="AB73" s="614">
        <v>11.55</v>
      </c>
      <c r="AC73" s="612"/>
      <c r="AD73" s="612">
        <v>0</v>
      </c>
      <c r="AE73" s="612">
        <v>23.1</v>
      </c>
      <c r="AF73" s="614">
        <v>21.4</v>
      </c>
      <c r="AG73" s="614"/>
      <c r="AH73" s="612">
        <v>15.2</v>
      </c>
      <c r="AI73" s="617">
        <v>27.6</v>
      </c>
      <c r="AJ73" s="618"/>
      <c r="AK73" s="619">
        <v>972.61</v>
      </c>
      <c r="AL73" s="616"/>
      <c r="AM73" s="608">
        <v>2831</v>
      </c>
      <c r="AN73" s="608"/>
      <c r="AO73" s="608">
        <v>2255</v>
      </c>
      <c r="AP73" s="611">
        <v>17.45</v>
      </c>
      <c r="AQ73" s="614"/>
      <c r="AR73" s="611">
        <v>8.25</v>
      </c>
      <c r="AS73" s="611">
        <v>13.3</v>
      </c>
      <c r="AT73" s="614"/>
      <c r="AU73" s="614">
        <v>9.6999999999999993</v>
      </c>
      <c r="AV73" s="614">
        <v>20.55</v>
      </c>
      <c r="AW73" s="614"/>
      <c r="AX73" s="614">
        <v>7.35</v>
      </c>
      <c r="AY73" s="616"/>
      <c r="AZ73" s="615">
        <v>2448.5500000000002</v>
      </c>
      <c r="BA73" s="615"/>
      <c r="BB73" s="608">
        <v>1494.85</v>
      </c>
      <c r="BC73" s="611">
        <v>15.515000000000001</v>
      </c>
      <c r="BD73" s="611"/>
      <c r="BE73" s="611">
        <v>10.195</v>
      </c>
      <c r="BF73" s="611">
        <v>11.465</v>
      </c>
      <c r="BG73" s="614"/>
      <c r="BH73" s="614">
        <v>11.685</v>
      </c>
      <c r="BI73" s="614">
        <v>21.04</v>
      </c>
      <c r="BJ73" s="614"/>
      <c r="BK73" s="620">
        <v>6.6</v>
      </c>
    </row>
    <row r="74" spans="1:63" x14ac:dyDescent="0.2">
      <c r="A74" s="224">
        <v>972.91</v>
      </c>
      <c r="B74" s="607" t="s">
        <v>602</v>
      </c>
      <c r="C74" s="608">
        <v>1100.5</v>
      </c>
      <c r="D74" s="609"/>
      <c r="E74" s="610">
        <v>583</v>
      </c>
      <c r="F74" s="610">
        <v>1618</v>
      </c>
      <c r="G74" s="611">
        <v>19.3</v>
      </c>
      <c r="H74" s="612"/>
      <c r="I74" s="613">
        <v>12.9</v>
      </c>
      <c r="J74" s="613">
        <v>25.7</v>
      </c>
      <c r="K74" s="614">
        <v>15</v>
      </c>
      <c r="L74" s="612"/>
      <c r="M74" s="612">
        <v>7</v>
      </c>
      <c r="N74" s="612">
        <v>23</v>
      </c>
      <c r="O74" s="614">
        <v>23.6</v>
      </c>
      <c r="P74" s="612"/>
      <c r="Q74" s="615">
        <v>19.3</v>
      </c>
      <c r="R74" s="612">
        <v>27.9</v>
      </c>
      <c r="S74" s="616"/>
      <c r="T74" s="615">
        <v>1746.5</v>
      </c>
      <c r="U74" s="610"/>
      <c r="V74" s="610">
        <v>1007</v>
      </c>
      <c r="W74" s="610">
        <v>2486</v>
      </c>
      <c r="X74" s="611">
        <v>7.95</v>
      </c>
      <c r="Y74" s="612"/>
      <c r="Z74" s="613">
        <v>5.5</v>
      </c>
      <c r="AA74" s="613">
        <v>10.4</v>
      </c>
      <c r="AB74" s="614">
        <v>3.95</v>
      </c>
      <c r="AC74" s="612"/>
      <c r="AD74" s="612">
        <v>1</v>
      </c>
      <c r="AE74" s="612">
        <v>6.9</v>
      </c>
      <c r="AF74" s="614">
        <v>14.8</v>
      </c>
      <c r="AG74" s="614"/>
      <c r="AH74" s="612">
        <v>14.4</v>
      </c>
      <c r="AI74" s="617">
        <v>15.2</v>
      </c>
      <c r="AJ74" s="618"/>
      <c r="AK74" s="619">
        <v>972.91</v>
      </c>
      <c r="AL74" s="616"/>
      <c r="AM74" s="608">
        <v>1375.5</v>
      </c>
      <c r="AN74" s="608"/>
      <c r="AO74" s="608">
        <v>589.70000000000005</v>
      </c>
      <c r="AP74" s="611">
        <v>14.69</v>
      </c>
      <c r="AQ74" s="614"/>
      <c r="AR74" s="611">
        <v>1.83</v>
      </c>
      <c r="AS74" s="611">
        <v>10.029999999999999</v>
      </c>
      <c r="AT74" s="614"/>
      <c r="AU74" s="614">
        <v>3.31</v>
      </c>
      <c r="AV74" s="614">
        <v>19.190000000000001</v>
      </c>
      <c r="AW74" s="614"/>
      <c r="AX74" s="614">
        <v>0.60999999999999943</v>
      </c>
      <c r="AY74" s="616"/>
      <c r="AZ74" s="615">
        <v>1821.2</v>
      </c>
      <c r="BA74" s="615"/>
      <c r="BB74" s="608">
        <v>865.8</v>
      </c>
      <c r="BC74" s="611">
        <v>8.3699999999999992</v>
      </c>
      <c r="BD74" s="611"/>
      <c r="BE74" s="611">
        <v>3.29</v>
      </c>
      <c r="BF74" s="611">
        <v>3.8</v>
      </c>
      <c r="BG74" s="614"/>
      <c r="BH74" s="614">
        <v>3.22</v>
      </c>
      <c r="BI74" s="614">
        <v>15.48</v>
      </c>
      <c r="BJ74" s="614"/>
      <c r="BK74" s="620">
        <v>3.04</v>
      </c>
    </row>
    <row r="75" spans="1:63" x14ac:dyDescent="0.2">
      <c r="A75" s="224">
        <v>973.11</v>
      </c>
      <c r="B75" s="607" t="s">
        <v>602</v>
      </c>
      <c r="C75" s="608">
        <v>1453</v>
      </c>
      <c r="D75" s="608">
        <v>1453</v>
      </c>
      <c r="E75" s="610">
        <v>1042</v>
      </c>
      <c r="F75" s="610">
        <v>1864</v>
      </c>
      <c r="G75" s="611">
        <v>20.9</v>
      </c>
      <c r="H75" s="612">
        <v>20.9</v>
      </c>
      <c r="I75" s="613">
        <v>18</v>
      </c>
      <c r="J75" s="613">
        <v>23.8</v>
      </c>
      <c r="K75" s="614">
        <v>16.75</v>
      </c>
      <c r="L75" s="612">
        <v>16.75</v>
      </c>
      <c r="M75" s="612">
        <v>14.1</v>
      </c>
      <c r="N75" s="612">
        <v>19.399999999999999</v>
      </c>
      <c r="O75" s="614">
        <v>23.9</v>
      </c>
      <c r="P75" s="612">
        <v>23.9</v>
      </c>
      <c r="Q75" s="615">
        <v>21.2</v>
      </c>
      <c r="R75" s="612">
        <v>26.6</v>
      </c>
      <c r="S75" s="616"/>
      <c r="T75" s="615">
        <v>1570.5</v>
      </c>
      <c r="U75" s="615">
        <v>1570.5</v>
      </c>
      <c r="V75" s="610">
        <v>1007</v>
      </c>
      <c r="W75" s="610">
        <v>2134</v>
      </c>
      <c r="X75" s="611">
        <v>10.45</v>
      </c>
      <c r="Y75" s="612">
        <v>10.45</v>
      </c>
      <c r="Z75" s="613">
        <v>10.4</v>
      </c>
      <c r="AA75" s="613">
        <v>10.5</v>
      </c>
      <c r="AB75" s="614">
        <v>6</v>
      </c>
      <c r="AC75" s="612">
        <v>6</v>
      </c>
      <c r="AD75" s="612">
        <v>5.0999999999999996</v>
      </c>
      <c r="AE75" s="612">
        <v>6.9</v>
      </c>
      <c r="AF75" s="614">
        <v>14.8</v>
      </c>
      <c r="AG75" s="614">
        <v>14.8</v>
      </c>
      <c r="AH75" s="612">
        <v>14.4</v>
      </c>
      <c r="AI75" s="617">
        <v>15.2</v>
      </c>
      <c r="AJ75" s="618"/>
      <c r="AK75" s="619">
        <v>973.11</v>
      </c>
      <c r="AL75" s="616"/>
      <c r="AM75" s="608">
        <v>1497.7</v>
      </c>
      <c r="AN75" s="608">
        <v>1497.7</v>
      </c>
      <c r="AO75" s="608">
        <v>528.29999999999995</v>
      </c>
      <c r="AP75" s="611">
        <v>16.690000000000001</v>
      </c>
      <c r="AQ75" s="614">
        <v>16.690000000000001</v>
      </c>
      <c r="AR75" s="611">
        <v>1.75</v>
      </c>
      <c r="AS75" s="611">
        <v>12.12</v>
      </c>
      <c r="AT75" s="614">
        <v>12.12</v>
      </c>
      <c r="AU75" s="614">
        <v>2.2799999999999998</v>
      </c>
      <c r="AV75" s="614">
        <v>20.350000000000001</v>
      </c>
      <c r="AW75" s="614">
        <v>20.350000000000001</v>
      </c>
      <c r="AX75" s="614">
        <v>1.37</v>
      </c>
      <c r="AY75" s="616"/>
      <c r="AZ75" s="615">
        <v>1650.3</v>
      </c>
      <c r="BA75" s="615">
        <v>1650.3</v>
      </c>
      <c r="BB75" s="608">
        <v>694.9</v>
      </c>
      <c r="BC75" s="611">
        <v>11.01</v>
      </c>
      <c r="BD75" s="611">
        <v>11.01</v>
      </c>
      <c r="BE75" s="611">
        <v>1.07</v>
      </c>
      <c r="BF75" s="611">
        <v>5.92</v>
      </c>
      <c r="BG75" s="614">
        <v>5.92</v>
      </c>
      <c r="BH75" s="614">
        <v>1.1399999999999999</v>
      </c>
      <c r="BI75" s="614">
        <v>17.29</v>
      </c>
      <c r="BJ75" s="614">
        <v>17.29</v>
      </c>
      <c r="BK75" s="620">
        <v>2.39</v>
      </c>
    </row>
    <row r="76" spans="1:63" x14ac:dyDescent="0.2">
      <c r="A76" s="224">
        <v>973.31</v>
      </c>
      <c r="B76" s="607" t="s">
        <v>602</v>
      </c>
      <c r="C76" s="608">
        <v>1105.5</v>
      </c>
      <c r="D76" s="608">
        <v>1105.5</v>
      </c>
      <c r="E76" s="610">
        <v>576</v>
      </c>
      <c r="F76" s="610">
        <v>1635</v>
      </c>
      <c r="G76" s="611">
        <v>17.8</v>
      </c>
      <c r="H76" s="612">
        <v>17.8</v>
      </c>
      <c r="I76" s="613">
        <v>14.4</v>
      </c>
      <c r="J76" s="613">
        <v>21.2</v>
      </c>
      <c r="K76" s="614">
        <v>12.1</v>
      </c>
      <c r="L76" s="612">
        <v>12.1</v>
      </c>
      <c r="M76" s="612">
        <v>7.8</v>
      </c>
      <c r="N76" s="612">
        <v>16.399999999999999</v>
      </c>
      <c r="O76" s="614">
        <v>22.75</v>
      </c>
      <c r="P76" s="612">
        <v>22.75</v>
      </c>
      <c r="Q76" s="615">
        <v>17.600000000000001</v>
      </c>
      <c r="R76" s="612">
        <v>27.9</v>
      </c>
      <c r="S76" s="616"/>
      <c r="T76" s="615">
        <v>1678.5</v>
      </c>
      <c r="U76" s="615">
        <v>1678.5</v>
      </c>
      <c r="V76" s="610">
        <v>1223</v>
      </c>
      <c r="W76" s="610">
        <v>2134</v>
      </c>
      <c r="X76" s="611">
        <v>10.45</v>
      </c>
      <c r="Y76" s="612">
        <v>10.45</v>
      </c>
      <c r="Z76" s="613">
        <v>10.4</v>
      </c>
      <c r="AA76" s="613">
        <v>10.5</v>
      </c>
      <c r="AB76" s="614">
        <v>6</v>
      </c>
      <c r="AC76" s="612">
        <v>6</v>
      </c>
      <c r="AD76" s="612">
        <v>5.0999999999999996</v>
      </c>
      <c r="AE76" s="612">
        <v>6.9</v>
      </c>
      <c r="AF76" s="614">
        <v>14.8</v>
      </c>
      <c r="AG76" s="614">
        <v>14.8</v>
      </c>
      <c r="AH76" s="612">
        <v>14.4</v>
      </c>
      <c r="AI76" s="617">
        <v>15.2</v>
      </c>
      <c r="AJ76" s="618"/>
      <c r="AK76" s="619">
        <v>973.31</v>
      </c>
      <c r="AL76" s="616"/>
      <c r="AM76" s="608">
        <v>1249</v>
      </c>
      <c r="AN76" s="608">
        <v>1249</v>
      </c>
      <c r="AO76" s="608">
        <v>500.5</v>
      </c>
      <c r="AP76" s="611">
        <v>14.125</v>
      </c>
      <c r="AQ76" s="614">
        <v>14.125</v>
      </c>
      <c r="AR76" s="611">
        <v>1.675</v>
      </c>
      <c r="AS76" s="611">
        <v>9.0500000000000007</v>
      </c>
      <c r="AT76" s="614">
        <v>9.0500000000000007</v>
      </c>
      <c r="AU76" s="614">
        <v>2.6</v>
      </c>
      <c r="AV76" s="614">
        <v>19.05</v>
      </c>
      <c r="AW76" s="614">
        <v>19.05</v>
      </c>
      <c r="AX76" s="614">
        <v>2.1</v>
      </c>
      <c r="AY76" s="616"/>
      <c r="AZ76" s="615">
        <v>1726.1</v>
      </c>
      <c r="BA76" s="615">
        <v>1726.1</v>
      </c>
      <c r="BB76" s="608">
        <v>654.29999999999995</v>
      </c>
      <c r="BC76" s="611">
        <v>8.84</v>
      </c>
      <c r="BD76" s="611">
        <v>8.84</v>
      </c>
      <c r="BE76" s="611">
        <v>1.84</v>
      </c>
      <c r="BF76" s="611">
        <v>4.8449999999999998</v>
      </c>
      <c r="BG76" s="614">
        <v>4.8449999999999998</v>
      </c>
      <c r="BH76" s="614">
        <v>2.0550000000000002</v>
      </c>
      <c r="BI76" s="614">
        <v>13.675000000000001</v>
      </c>
      <c r="BJ76" s="614">
        <v>13.675000000000001</v>
      </c>
      <c r="BK76" s="620">
        <v>0.875</v>
      </c>
    </row>
    <row r="77" spans="1:63" x14ac:dyDescent="0.2">
      <c r="A77" s="224">
        <v>973.70500000000004</v>
      </c>
      <c r="B77" s="607" t="s">
        <v>602</v>
      </c>
      <c r="C77" s="608">
        <v>1220</v>
      </c>
      <c r="D77" s="608">
        <v>1220</v>
      </c>
      <c r="E77" s="610">
        <v>576</v>
      </c>
      <c r="F77" s="610">
        <v>1864</v>
      </c>
      <c r="G77" s="611">
        <v>17.2</v>
      </c>
      <c r="H77" s="614">
        <v>17.2</v>
      </c>
      <c r="I77" s="613">
        <v>10.5</v>
      </c>
      <c r="J77" s="613">
        <v>23.9</v>
      </c>
      <c r="K77" s="614">
        <v>12.25</v>
      </c>
      <c r="L77" s="614">
        <v>12.25</v>
      </c>
      <c r="M77" s="612">
        <v>5.0999999999999996</v>
      </c>
      <c r="N77" s="612">
        <v>19.399999999999999</v>
      </c>
      <c r="O77" s="614">
        <v>22.1</v>
      </c>
      <c r="P77" s="614">
        <v>22.1</v>
      </c>
      <c r="Q77" s="615">
        <v>16.3</v>
      </c>
      <c r="R77" s="612">
        <v>27.9</v>
      </c>
      <c r="S77" s="616"/>
      <c r="T77" s="615">
        <v>1527.5</v>
      </c>
      <c r="U77" s="615">
        <v>1527.5</v>
      </c>
      <c r="V77" s="610">
        <v>921</v>
      </c>
      <c r="W77" s="610">
        <v>2134</v>
      </c>
      <c r="X77" s="611">
        <v>10.45</v>
      </c>
      <c r="Y77" s="612">
        <v>10.45</v>
      </c>
      <c r="Z77" s="613">
        <v>10.4</v>
      </c>
      <c r="AA77" s="613">
        <v>10.5</v>
      </c>
      <c r="AB77" s="614">
        <v>6</v>
      </c>
      <c r="AC77" s="612">
        <v>6</v>
      </c>
      <c r="AD77" s="612">
        <v>5.0999999999999996</v>
      </c>
      <c r="AE77" s="612">
        <v>6.9</v>
      </c>
      <c r="AF77" s="614">
        <v>14.8</v>
      </c>
      <c r="AG77" s="614">
        <v>14.8</v>
      </c>
      <c r="AH77" s="612">
        <v>14.4</v>
      </c>
      <c r="AI77" s="617">
        <v>15.2</v>
      </c>
      <c r="AJ77" s="618"/>
      <c r="AK77" s="619">
        <v>973.70500000000004</v>
      </c>
      <c r="AL77" s="616"/>
      <c r="AM77" s="608">
        <v>1377.5</v>
      </c>
      <c r="AN77" s="608">
        <v>1377.5</v>
      </c>
      <c r="AO77" s="608">
        <v>594.5</v>
      </c>
      <c r="AP77" s="611">
        <v>12.89</v>
      </c>
      <c r="AQ77" s="614">
        <v>12.89</v>
      </c>
      <c r="AR77" s="611">
        <v>2.91</v>
      </c>
      <c r="AS77" s="611">
        <v>8.1999999999999993</v>
      </c>
      <c r="AT77" s="614">
        <v>8.1999999999999993</v>
      </c>
      <c r="AU77" s="614">
        <v>3.7</v>
      </c>
      <c r="AV77" s="614">
        <v>17.43</v>
      </c>
      <c r="AW77" s="614">
        <v>17.43</v>
      </c>
      <c r="AX77" s="614">
        <v>2.37</v>
      </c>
      <c r="AY77" s="616"/>
      <c r="AZ77" s="615">
        <v>1615.5</v>
      </c>
      <c r="BA77" s="615">
        <v>1615.5</v>
      </c>
      <c r="BB77" s="608">
        <v>694.5</v>
      </c>
      <c r="BC77" s="611">
        <v>8.84</v>
      </c>
      <c r="BD77" s="611">
        <v>8.84</v>
      </c>
      <c r="BE77" s="611">
        <v>1.84</v>
      </c>
      <c r="BF77" s="611">
        <v>4.8449999999999998</v>
      </c>
      <c r="BG77" s="614">
        <v>4.8449999999999998</v>
      </c>
      <c r="BH77" s="614">
        <v>2.0550000000000002</v>
      </c>
      <c r="BI77" s="614">
        <v>13.675000000000001</v>
      </c>
      <c r="BJ77" s="614">
        <v>13.675000000000001</v>
      </c>
      <c r="BK77" s="620">
        <v>0.875</v>
      </c>
    </row>
    <row r="78" spans="1:63" x14ac:dyDescent="0.2">
      <c r="A78" s="224">
        <v>973.81</v>
      </c>
      <c r="B78" s="607" t="s">
        <v>602</v>
      </c>
      <c r="C78" s="608">
        <v>1355</v>
      </c>
      <c r="D78" s="609"/>
      <c r="E78" s="610">
        <v>576</v>
      </c>
      <c r="F78" s="610">
        <v>2134</v>
      </c>
      <c r="G78" s="611">
        <v>18.100000000000001</v>
      </c>
      <c r="H78" s="612"/>
      <c r="I78" s="613">
        <v>10.5</v>
      </c>
      <c r="J78" s="613">
        <v>25.7</v>
      </c>
      <c r="K78" s="614">
        <v>14.05</v>
      </c>
      <c r="L78" s="612"/>
      <c r="M78" s="612">
        <v>5.0999999999999996</v>
      </c>
      <c r="N78" s="612">
        <v>23</v>
      </c>
      <c r="O78" s="614">
        <v>20.55</v>
      </c>
      <c r="P78" s="612"/>
      <c r="Q78" s="615">
        <v>13.2</v>
      </c>
      <c r="R78" s="612">
        <v>27.9</v>
      </c>
      <c r="S78" s="616"/>
      <c r="T78" s="615">
        <v>1678.5</v>
      </c>
      <c r="U78" s="610"/>
      <c r="V78" s="610">
        <v>1223</v>
      </c>
      <c r="W78" s="610">
        <v>2134</v>
      </c>
      <c r="X78" s="611">
        <v>10.65</v>
      </c>
      <c r="Y78" s="612"/>
      <c r="Z78" s="613">
        <v>10.5</v>
      </c>
      <c r="AA78" s="613">
        <v>10.8</v>
      </c>
      <c r="AB78" s="614">
        <v>6</v>
      </c>
      <c r="AC78" s="612"/>
      <c r="AD78" s="612">
        <v>5.0999999999999996</v>
      </c>
      <c r="AE78" s="612">
        <v>6.9</v>
      </c>
      <c r="AF78" s="614">
        <v>12.55</v>
      </c>
      <c r="AG78" s="614"/>
      <c r="AH78" s="612">
        <v>10.4</v>
      </c>
      <c r="AI78" s="617">
        <v>14.7</v>
      </c>
      <c r="AJ78" s="618"/>
      <c r="AK78" s="619">
        <v>973.81</v>
      </c>
      <c r="AL78" s="616"/>
      <c r="AM78" s="608">
        <v>1650.2</v>
      </c>
      <c r="AN78" s="608"/>
      <c r="AO78" s="608">
        <v>1074.2</v>
      </c>
      <c r="AP78" s="611">
        <v>17.97</v>
      </c>
      <c r="AQ78" s="614"/>
      <c r="AR78" s="611">
        <v>7.73</v>
      </c>
      <c r="AS78" s="611">
        <v>13.9</v>
      </c>
      <c r="AT78" s="614"/>
      <c r="AU78" s="614">
        <v>9.1</v>
      </c>
      <c r="AV78" s="614">
        <v>20.55</v>
      </c>
      <c r="AW78" s="614"/>
      <c r="AX78" s="614">
        <v>7.35</v>
      </c>
      <c r="AY78" s="616"/>
      <c r="AZ78" s="615">
        <v>1688.7</v>
      </c>
      <c r="BA78" s="615"/>
      <c r="BB78" s="608">
        <v>526.1</v>
      </c>
      <c r="BC78" s="611">
        <v>10.3</v>
      </c>
      <c r="BD78" s="611"/>
      <c r="BE78" s="611">
        <v>0.84000000000000163</v>
      </c>
      <c r="BF78" s="611">
        <v>5.69</v>
      </c>
      <c r="BG78" s="614"/>
      <c r="BH78" s="614">
        <v>1.25</v>
      </c>
      <c r="BI78" s="614">
        <v>13.22</v>
      </c>
      <c r="BJ78" s="614"/>
      <c r="BK78" s="620">
        <v>2.94</v>
      </c>
    </row>
    <row r="79" spans="1:63" x14ac:dyDescent="0.2">
      <c r="A79" s="224">
        <v>973.86</v>
      </c>
      <c r="B79" s="607" t="s">
        <v>602</v>
      </c>
      <c r="C79" s="608">
        <v>1378.5</v>
      </c>
      <c r="D79" s="608">
        <v>1378.5</v>
      </c>
      <c r="E79" s="610">
        <v>1139</v>
      </c>
      <c r="F79" s="610">
        <v>1618</v>
      </c>
      <c r="G79" s="611">
        <v>18.399999999999999</v>
      </c>
      <c r="H79" s="612">
        <v>18.399999999999999</v>
      </c>
      <c r="I79" s="613">
        <v>12.9</v>
      </c>
      <c r="J79" s="613">
        <v>23.9</v>
      </c>
      <c r="K79" s="614">
        <v>13.2</v>
      </c>
      <c r="L79" s="612">
        <v>13.2</v>
      </c>
      <c r="M79" s="612">
        <v>7</v>
      </c>
      <c r="N79" s="612">
        <v>19.399999999999999</v>
      </c>
      <c r="O79" s="614">
        <v>23.5</v>
      </c>
      <c r="P79" s="612">
        <v>23.5</v>
      </c>
      <c r="Q79" s="615">
        <v>19.8</v>
      </c>
      <c r="R79" s="612">
        <v>27.2</v>
      </c>
      <c r="S79" s="616"/>
      <c r="T79" s="615">
        <v>1678.5</v>
      </c>
      <c r="U79" s="615">
        <v>1678.5</v>
      </c>
      <c r="V79" s="610">
        <v>1223</v>
      </c>
      <c r="W79" s="610">
        <v>2134</v>
      </c>
      <c r="X79" s="611">
        <v>10.45</v>
      </c>
      <c r="Y79" s="612">
        <v>10.45</v>
      </c>
      <c r="Z79" s="613">
        <v>10.4</v>
      </c>
      <c r="AA79" s="613">
        <v>10.5</v>
      </c>
      <c r="AB79" s="614">
        <v>6</v>
      </c>
      <c r="AC79" s="612">
        <v>6</v>
      </c>
      <c r="AD79" s="612">
        <v>5.0999999999999996</v>
      </c>
      <c r="AE79" s="612">
        <v>6.9</v>
      </c>
      <c r="AF79" s="614">
        <v>14.8</v>
      </c>
      <c r="AG79" s="614">
        <v>14.8</v>
      </c>
      <c r="AH79" s="612">
        <v>14.4</v>
      </c>
      <c r="AI79" s="617">
        <v>15.2</v>
      </c>
      <c r="AJ79" s="618"/>
      <c r="AK79" s="619">
        <v>973.86</v>
      </c>
      <c r="AL79" s="616"/>
      <c r="AM79" s="608">
        <v>1280.4000000000001</v>
      </c>
      <c r="AN79" s="608">
        <v>1280.4000000000001</v>
      </c>
      <c r="AO79" s="608">
        <v>337.6</v>
      </c>
      <c r="AP79" s="611">
        <v>17.68</v>
      </c>
      <c r="AQ79" s="614">
        <v>17.68</v>
      </c>
      <c r="AR79" s="611">
        <v>4.87</v>
      </c>
      <c r="AS79" s="611">
        <v>12.574999999999999</v>
      </c>
      <c r="AT79" s="614">
        <v>12.574999999999999</v>
      </c>
      <c r="AU79" s="614">
        <v>5.5750000000000002</v>
      </c>
      <c r="AV79" s="614">
        <v>22.635000000000002</v>
      </c>
      <c r="AW79" s="614">
        <v>22.635000000000002</v>
      </c>
      <c r="AX79" s="614">
        <v>3.2850000000000001</v>
      </c>
      <c r="AY79" s="616"/>
      <c r="AZ79" s="615">
        <v>1732.9</v>
      </c>
      <c r="BA79" s="615">
        <v>1732.9</v>
      </c>
      <c r="BB79" s="608">
        <v>682.7</v>
      </c>
      <c r="BC79" s="611">
        <v>8.61</v>
      </c>
      <c r="BD79" s="611">
        <v>8.61</v>
      </c>
      <c r="BE79" s="611">
        <v>2.11</v>
      </c>
      <c r="BF79" s="611">
        <v>4.68</v>
      </c>
      <c r="BG79" s="614">
        <v>4.68</v>
      </c>
      <c r="BH79" s="614">
        <v>2.2200000000000002</v>
      </c>
      <c r="BI79" s="614">
        <v>13.45</v>
      </c>
      <c r="BJ79" s="614">
        <v>13.45</v>
      </c>
      <c r="BK79" s="620">
        <v>1.1299999999999999</v>
      </c>
    </row>
    <row r="80" spans="1:63" x14ac:dyDescent="0.2">
      <c r="A80" s="224">
        <v>977.71</v>
      </c>
      <c r="B80" s="607" t="s">
        <v>602</v>
      </c>
      <c r="C80" s="608">
        <v>1355</v>
      </c>
      <c r="D80" s="609"/>
      <c r="E80" s="610">
        <v>576</v>
      </c>
      <c r="F80" s="610">
        <v>2134</v>
      </c>
      <c r="G80" s="611">
        <v>18.100000000000001</v>
      </c>
      <c r="H80" s="612"/>
      <c r="I80" s="613">
        <v>10.5</v>
      </c>
      <c r="J80" s="613">
        <v>25.7</v>
      </c>
      <c r="K80" s="614">
        <v>14.05</v>
      </c>
      <c r="L80" s="612"/>
      <c r="M80" s="612">
        <v>5.0999999999999996</v>
      </c>
      <c r="N80" s="612">
        <v>23</v>
      </c>
      <c r="O80" s="614">
        <v>20.55</v>
      </c>
      <c r="P80" s="612"/>
      <c r="Q80" s="615">
        <v>13.2</v>
      </c>
      <c r="R80" s="612">
        <v>27.9</v>
      </c>
      <c r="S80" s="616"/>
      <c r="T80" s="615">
        <v>1527.5</v>
      </c>
      <c r="U80" s="610"/>
      <c r="V80" s="610">
        <v>921</v>
      </c>
      <c r="W80" s="610">
        <v>2134</v>
      </c>
      <c r="X80" s="611">
        <v>11.5</v>
      </c>
      <c r="Y80" s="612"/>
      <c r="Z80" s="613">
        <v>10.5</v>
      </c>
      <c r="AA80" s="613">
        <v>12.5</v>
      </c>
      <c r="AB80" s="614">
        <v>6.1</v>
      </c>
      <c r="AC80" s="612"/>
      <c r="AD80" s="612">
        <v>5.0999999999999996</v>
      </c>
      <c r="AE80" s="612">
        <v>7.1</v>
      </c>
      <c r="AF80" s="614">
        <v>19.850000000000001</v>
      </c>
      <c r="AG80" s="614"/>
      <c r="AH80" s="612">
        <v>10.4</v>
      </c>
      <c r="AI80" s="617">
        <v>29.3</v>
      </c>
      <c r="AJ80" s="618"/>
      <c r="AK80" s="619">
        <v>977.71</v>
      </c>
      <c r="AL80" s="616"/>
      <c r="AM80" s="608">
        <v>1650.2</v>
      </c>
      <c r="AN80" s="608"/>
      <c r="AO80" s="608">
        <v>1074.2</v>
      </c>
      <c r="AP80" s="611">
        <v>17.97</v>
      </c>
      <c r="AQ80" s="614"/>
      <c r="AR80" s="611">
        <v>7.73</v>
      </c>
      <c r="AS80" s="611">
        <v>13.9</v>
      </c>
      <c r="AT80" s="614"/>
      <c r="AU80" s="614">
        <v>9.1</v>
      </c>
      <c r="AV80" s="614">
        <v>20.55</v>
      </c>
      <c r="AW80" s="614"/>
      <c r="AX80" s="614">
        <v>7.35</v>
      </c>
      <c r="AY80" s="616"/>
      <c r="AZ80" s="615">
        <v>1596.2</v>
      </c>
      <c r="BA80" s="615"/>
      <c r="BB80" s="608">
        <v>675.2</v>
      </c>
      <c r="BC80" s="611">
        <v>10.8</v>
      </c>
      <c r="BD80" s="611"/>
      <c r="BE80" s="611">
        <v>1.7</v>
      </c>
      <c r="BF80" s="611">
        <v>5.62</v>
      </c>
      <c r="BG80" s="614"/>
      <c r="BH80" s="614">
        <v>1.48</v>
      </c>
      <c r="BI80" s="614">
        <v>19.850000000000001</v>
      </c>
      <c r="BJ80" s="614"/>
      <c r="BK80" s="620">
        <v>9.4499999999999993</v>
      </c>
    </row>
    <row r="81" spans="1:63" x14ac:dyDescent="0.2">
      <c r="A81" s="224">
        <v>977.91</v>
      </c>
      <c r="B81" s="607" t="s">
        <v>602</v>
      </c>
      <c r="C81" s="608">
        <v>1387</v>
      </c>
      <c r="D81" s="609"/>
      <c r="E81" s="610">
        <v>1139</v>
      </c>
      <c r="F81" s="610">
        <v>1635</v>
      </c>
      <c r="G81" s="611">
        <v>17.8</v>
      </c>
      <c r="H81" s="612"/>
      <c r="I81" s="613">
        <v>14.4</v>
      </c>
      <c r="J81" s="613">
        <v>21.2</v>
      </c>
      <c r="K81" s="614">
        <v>12.1</v>
      </c>
      <c r="L81" s="612"/>
      <c r="M81" s="612">
        <v>7.8</v>
      </c>
      <c r="N81" s="612">
        <v>16.399999999999999</v>
      </c>
      <c r="O81" s="614">
        <v>23.5</v>
      </c>
      <c r="P81" s="612"/>
      <c r="Q81" s="615">
        <v>19.8</v>
      </c>
      <c r="R81" s="612">
        <v>27.2</v>
      </c>
      <c r="S81" s="616"/>
      <c r="T81" s="615">
        <v>1570.5</v>
      </c>
      <c r="U81" s="610"/>
      <c r="V81" s="610">
        <v>1007</v>
      </c>
      <c r="W81" s="610">
        <v>2134</v>
      </c>
      <c r="X81" s="611">
        <v>10.45</v>
      </c>
      <c r="Y81" s="612"/>
      <c r="Z81" s="613">
        <v>10.4</v>
      </c>
      <c r="AA81" s="613">
        <v>10.5</v>
      </c>
      <c r="AB81" s="614">
        <v>6</v>
      </c>
      <c r="AC81" s="612"/>
      <c r="AD81" s="612">
        <v>5.0999999999999996</v>
      </c>
      <c r="AE81" s="612">
        <v>6.9</v>
      </c>
      <c r="AF81" s="614">
        <v>14.8</v>
      </c>
      <c r="AG81" s="614"/>
      <c r="AH81" s="612">
        <v>14.4</v>
      </c>
      <c r="AI81" s="617">
        <v>15.2</v>
      </c>
      <c r="AJ81" s="618"/>
      <c r="AK81" s="619">
        <v>977.91</v>
      </c>
      <c r="AL81" s="616"/>
      <c r="AM81" s="608">
        <v>1390.3</v>
      </c>
      <c r="AN81" s="608"/>
      <c r="AO81" s="608">
        <v>382.1</v>
      </c>
      <c r="AP81" s="611">
        <v>14.47</v>
      </c>
      <c r="AQ81" s="614"/>
      <c r="AR81" s="611">
        <v>2.41</v>
      </c>
      <c r="AS81" s="611">
        <v>9.9600000000000009</v>
      </c>
      <c r="AT81" s="614"/>
      <c r="AU81" s="614">
        <v>2.64</v>
      </c>
      <c r="AV81" s="614">
        <v>20.28</v>
      </c>
      <c r="AW81" s="614"/>
      <c r="AX81" s="614">
        <v>1.8</v>
      </c>
      <c r="AY81" s="616"/>
      <c r="AZ81" s="615">
        <v>1676.55</v>
      </c>
      <c r="BA81" s="615"/>
      <c r="BB81" s="608">
        <v>703.85</v>
      </c>
      <c r="BC81" s="611">
        <v>9.4350000000000005</v>
      </c>
      <c r="BD81" s="611"/>
      <c r="BE81" s="611">
        <v>2.4350000000000001</v>
      </c>
      <c r="BF81" s="611">
        <v>4.6349999999999998</v>
      </c>
      <c r="BG81" s="614"/>
      <c r="BH81" s="614">
        <v>2.4049999999999998</v>
      </c>
      <c r="BI81" s="614">
        <v>16.45</v>
      </c>
      <c r="BJ81" s="614"/>
      <c r="BK81" s="620">
        <v>4.13</v>
      </c>
    </row>
    <row r="82" spans="1:63" x14ac:dyDescent="0.2">
      <c r="A82" s="224">
        <v>978.11</v>
      </c>
      <c r="B82" s="607" t="s">
        <v>602</v>
      </c>
      <c r="C82" s="608">
        <v>1355</v>
      </c>
      <c r="D82" s="609"/>
      <c r="E82" s="610">
        <v>576</v>
      </c>
      <c r="F82" s="610">
        <v>2134</v>
      </c>
      <c r="G82" s="611">
        <v>18.100000000000001</v>
      </c>
      <c r="H82" s="612"/>
      <c r="I82" s="613">
        <v>10.5</v>
      </c>
      <c r="J82" s="613">
        <v>25.7</v>
      </c>
      <c r="K82" s="614">
        <v>14.05</v>
      </c>
      <c r="L82" s="612"/>
      <c r="M82" s="612">
        <v>5.0999999999999996</v>
      </c>
      <c r="N82" s="612">
        <v>23</v>
      </c>
      <c r="O82" s="614">
        <v>20.55</v>
      </c>
      <c r="P82" s="612"/>
      <c r="Q82" s="615">
        <v>13.2</v>
      </c>
      <c r="R82" s="612">
        <v>27.9</v>
      </c>
      <c r="S82" s="616"/>
      <c r="T82" s="615">
        <v>1570.5</v>
      </c>
      <c r="U82" s="610"/>
      <c r="V82" s="610">
        <v>1007</v>
      </c>
      <c r="W82" s="610">
        <v>2134</v>
      </c>
      <c r="X82" s="611">
        <v>11.5</v>
      </c>
      <c r="Y82" s="612"/>
      <c r="Z82" s="613">
        <v>10.5</v>
      </c>
      <c r="AA82" s="613">
        <v>12.5</v>
      </c>
      <c r="AB82" s="614">
        <v>6.1</v>
      </c>
      <c r="AC82" s="612"/>
      <c r="AD82" s="612">
        <v>5.0999999999999996</v>
      </c>
      <c r="AE82" s="612">
        <v>7.1</v>
      </c>
      <c r="AF82" s="614">
        <v>19.2</v>
      </c>
      <c r="AG82" s="614"/>
      <c r="AH82" s="612">
        <v>10.4</v>
      </c>
      <c r="AI82" s="617">
        <v>28</v>
      </c>
      <c r="AJ82" s="618"/>
      <c r="AK82" s="619">
        <v>978.11</v>
      </c>
      <c r="AL82" s="616"/>
      <c r="AM82" s="608">
        <v>1459.9</v>
      </c>
      <c r="AN82" s="608"/>
      <c r="AO82" s="608">
        <v>969.3</v>
      </c>
      <c r="AP82" s="611">
        <v>18.114999999999998</v>
      </c>
      <c r="AQ82" s="614"/>
      <c r="AR82" s="611">
        <v>7.7450000000000001</v>
      </c>
      <c r="AS82" s="611">
        <v>14.05</v>
      </c>
      <c r="AT82" s="614"/>
      <c r="AU82" s="614">
        <v>9.1</v>
      </c>
      <c r="AV82" s="614">
        <v>20.48</v>
      </c>
      <c r="AW82" s="614"/>
      <c r="AX82" s="614">
        <v>7.56</v>
      </c>
      <c r="AY82" s="616"/>
      <c r="AZ82" s="615">
        <v>1660.65</v>
      </c>
      <c r="BA82" s="615"/>
      <c r="BB82" s="608">
        <v>679.45</v>
      </c>
      <c r="BC82" s="611">
        <v>12.64</v>
      </c>
      <c r="BD82" s="611"/>
      <c r="BE82" s="611">
        <v>3.85</v>
      </c>
      <c r="BF82" s="611">
        <v>7.8849999999999998</v>
      </c>
      <c r="BG82" s="614"/>
      <c r="BH82" s="614">
        <v>4.0149999999999997</v>
      </c>
      <c r="BI82" s="614">
        <v>19.12</v>
      </c>
      <c r="BJ82" s="614"/>
      <c r="BK82" s="620">
        <v>9.14</v>
      </c>
    </row>
    <row r="83" spans="1:63" x14ac:dyDescent="0.2">
      <c r="A83" s="224">
        <v>978.31</v>
      </c>
      <c r="B83" s="607" t="s">
        <v>602</v>
      </c>
      <c r="C83" s="608">
        <v>2831</v>
      </c>
      <c r="D83" s="609"/>
      <c r="E83" s="610">
        <v>576</v>
      </c>
      <c r="F83" s="610">
        <v>5086</v>
      </c>
      <c r="G83" s="611">
        <v>17.45</v>
      </c>
      <c r="H83" s="612"/>
      <c r="I83" s="613">
        <v>9.1999999999999993</v>
      </c>
      <c r="J83" s="613">
        <v>25.7</v>
      </c>
      <c r="K83" s="614">
        <v>13.3</v>
      </c>
      <c r="L83" s="612"/>
      <c r="M83" s="612">
        <v>3.6</v>
      </c>
      <c r="N83" s="612">
        <v>23</v>
      </c>
      <c r="O83" s="614">
        <v>20.55</v>
      </c>
      <c r="P83" s="612"/>
      <c r="Q83" s="615">
        <v>13.2</v>
      </c>
      <c r="R83" s="612">
        <v>27.9</v>
      </c>
      <c r="S83" s="616"/>
      <c r="T83" s="615">
        <v>1871</v>
      </c>
      <c r="U83" s="610"/>
      <c r="V83" s="610">
        <v>921</v>
      </c>
      <c r="W83" s="610">
        <v>2821</v>
      </c>
      <c r="X83" s="611">
        <v>8</v>
      </c>
      <c r="Y83" s="612"/>
      <c r="Z83" s="613">
        <v>3.5</v>
      </c>
      <c r="AA83" s="613">
        <v>12.5</v>
      </c>
      <c r="AB83" s="614">
        <v>3.7</v>
      </c>
      <c r="AC83" s="612"/>
      <c r="AD83" s="612">
        <v>0.3</v>
      </c>
      <c r="AE83" s="612">
        <v>7.1</v>
      </c>
      <c r="AF83" s="614"/>
      <c r="AG83" s="614"/>
      <c r="AH83" s="612"/>
      <c r="AI83" s="617"/>
      <c r="AJ83" s="618"/>
      <c r="AK83" s="619">
        <v>978.31</v>
      </c>
      <c r="AL83" s="616"/>
      <c r="AM83" s="608">
        <v>2831</v>
      </c>
      <c r="AN83" s="608"/>
      <c r="AO83" s="608">
        <v>2255</v>
      </c>
      <c r="AP83" s="611">
        <v>17.45</v>
      </c>
      <c r="AQ83" s="614"/>
      <c r="AR83" s="611">
        <v>8.25</v>
      </c>
      <c r="AS83" s="611">
        <v>13.3</v>
      </c>
      <c r="AT83" s="614"/>
      <c r="AU83" s="614">
        <v>9.6999999999999993</v>
      </c>
      <c r="AV83" s="614">
        <v>20.55</v>
      </c>
      <c r="AW83" s="614"/>
      <c r="AX83" s="614">
        <v>7.35</v>
      </c>
      <c r="AY83" s="616"/>
      <c r="AZ83" s="615">
        <v>1871</v>
      </c>
      <c r="BA83" s="615"/>
      <c r="BB83" s="608">
        <v>950</v>
      </c>
      <c r="BC83" s="611">
        <v>8</v>
      </c>
      <c r="BD83" s="611"/>
      <c r="BE83" s="611">
        <v>4.5</v>
      </c>
      <c r="BF83" s="611">
        <v>3.7</v>
      </c>
      <c r="BG83" s="614"/>
      <c r="BH83" s="614">
        <v>3.4</v>
      </c>
      <c r="BI83" s="614"/>
      <c r="BJ83" s="614"/>
      <c r="BK83" s="620"/>
    </row>
    <row r="84" spans="1:63" x14ac:dyDescent="0.2">
      <c r="A84" s="224">
        <v>978.60500000000002</v>
      </c>
      <c r="B84" s="607" t="s">
        <v>602</v>
      </c>
      <c r="C84" s="608">
        <v>2831</v>
      </c>
      <c r="D84" s="609"/>
      <c r="E84" s="610">
        <v>576</v>
      </c>
      <c r="F84" s="610">
        <v>5086</v>
      </c>
      <c r="G84" s="611">
        <v>17.45</v>
      </c>
      <c r="H84" s="612"/>
      <c r="I84" s="613">
        <v>9.1999999999999993</v>
      </c>
      <c r="J84" s="613">
        <v>25.7</v>
      </c>
      <c r="K84" s="614">
        <v>13.3</v>
      </c>
      <c r="L84" s="612"/>
      <c r="M84" s="612">
        <v>3.6</v>
      </c>
      <c r="N84" s="612">
        <v>23</v>
      </c>
      <c r="O84" s="614">
        <v>20.55</v>
      </c>
      <c r="P84" s="612"/>
      <c r="Q84" s="615">
        <v>13.2</v>
      </c>
      <c r="R84" s="612">
        <v>27.9</v>
      </c>
      <c r="S84" s="616"/>
      <c r="T84" s="615">
        <v>2304</v>
      </c>
      <c r="U84" s="610"/>
      <c r="V84" s="610">
        <v>1007</v>
      </c>
      <c r="W84" s="610">
        <v>3601</v>
      </c>
      <c r="X84" s="611">
        <v>15.6</v>
      </c>
      <c r="Y84" s="612"/>
      <c r="Z84" s="613">
        <v>5.5</v>
      </c>
      <c r="AA84" s="613">
        <v>25.7</v>
      </c>
      <c r="AB84" s="614">
        <v>11.55</v>
      </c>
      <c r="AC84" s="612"/>
      <c r="AD84" s="612">
        <v>0</v>
      </c>
      <c r="AE84" s="612">
        <v>23.1</v>
      </c>
      <c r="AF84" s="614">
        <v>21.4</v>
      </c>
      <c r="AG84" s="614"/>
      <c r="AH84" s="612">
        <v>15.2</v>
      </c>
      <c r="AI84" s="617">
        <v>27.6</v>
      </c>
      <c r="AJ84" s="618"/>
      <c r="AK84" s="619">
        <v>978.60500000000002</v>
      </c>
      <c r="AL84" s="616"/>
      <c r="AM84" s="608">
        <v>2831</v>
      </c>
      <c r="AN84" s="608"/>
      <c r="AO84" s="608">
        <v>2255</v>
      </c>
      <c r="AP84" s="611">
        <v>17.45</v>
      </c>
      <c r="AQ84" s="614"/>
      <c r="AR84" s="611">
        <v>8.25</v>
      </c>
      <c r="AS84" s="611">
        <v>13.3</v>
      </c>
      <c r="AT84" s="614"/>
      <c r="AU84" s="614">
        <v>9.6999999999999993</v>
      </c>
      <c r="AV84" s="614">
        <v>20.55</v>
      </c>
      <c r="AW84" s="614"/>
      <c r="AX84" s="614">
        <v>7.35</v>
      </c>
      <c r="AY84" s="616"/>
      <c r="AZ84" s="615">
        <v>2448.5500000000002</v>
      </c>
      <c r="BA84" s="615"/>
      <c r="BB84" s="608">
        <v>1494.85</v>
      </c>
      <c r="BC84" s="611">
        <v>15.515000000000001</v>
      </c>
      <c r="BD84" s="611"/>
      <c r="BE84" s="611">
        <v>10.195</v>
      </c>
      <c r="BF84" s="611">
        <v>11.465</v>
      </c>
      <c r="BG84" s="614"/>
      <c r="BH84" s="614">
        <v>11.685</v>
      </c>
      <c r="BI84" s="614">
        <v>21.04</v>
      </c>
      <c r="BJ84" s="614"/>
      <c r="BK84" s="620">
        <v>6.6</v>
      </c>
    </row>
    <row r="85" spans="1:63" x14ac:dyDescent="0.2">
      <c r="A85" s="224">
        <v>978.91</v>
      </c>
      <c r="B85" s="607" t="s">
        <v>602</v>
      </c>
      <c r="C85" s="608">
        <v>1387</v>
      </c>
      <c r="D85" s="608">
        <v>1387</v>
      </c>
      <c r="E85" s="610">
        <v>1139</v>
      </c>
      <c r="F85" s="610">
        <v>1635</v>
      </c>
      <c r="G85" s="611">
        <v>17.8</v>
      </c>
      <c r="H85" s="612">
        <v>17.8</v>
      </c>
      <c r="I85" s="613">
        <v>14.4</v>
      </c>
      <c r="J85" s="613">
        <v>21.2</v>
      </c>
      <c r="K85" s="614">
        <v>12.1</v>
      </c>
      <c r="L85" s="612">
        <v>12.1</v>
      </c>
      <c r="M85" s="612">
        <v>7.8</v>
      </c>
      <c r="N85" s="612">
        <v>16.399999999999999</v>
      </c>
      <c r="O85" s="614">
        <v>23.5</v>
      </c>
      <c r="P85" s="612">
        <v>23.5</v>
      </c>
      <c r="Q85" s="615">
        <v>19.8</v>
      </c>
      <c r="R85" s="612">
        <v>27.2</v>
      </c>
      <c r="S85" s="616"/>
      <c r="T85" s="615">
        <v>1746.5</v>
      </c>
      <c r="U85" s="615">
        <v>1746.5</v>
      </c>
      <c r="V85" s="610">
        <v>1007</v>
      </c>
      <c r="W85" s="610">
        <v>2486</v>
      </c>
      <c r="X85" s="611">
        <v>7.95</v>
      </c>
      <c r="Y85" s="612">
        <v>7.95</v>
      </c>
      <c r="Z85" s="613">
        <v>5.5</v>
      </c>
      <c r="AA85" s="613">
        <v>10.4</v>
      </c>
      <c r="AB85" s="614">
        <v>3.95</v>
      </c>
      <c r="AC85" s="612">
        <v>3.95</v>
      </c>
      <c r="AD85" s="612">
        <v>1</v>
      </c>
      <c r="AE85" s="612">
        <v>6.9</v>
      </c>
      <c r="AF85" s="614">
        <v>14.8</v>
      </c>
      <c r="AG85" s="614"/>
      <c r="AH85" s="612">
        <v>14.4</v>
      </c>
      <c r="AI85" s="617">
        <v>15.2</v>
      </c>
      <c r="AJ85" s="618"/>
      <c r="AK85" s="619">
        <v>978.91</v>
      </c>
      <c r="AL85" s="616"/>
      <c r="AM85" s="608">
        <v>1545.25</v>
      </c>
      <c r="AN85" s="608">
        <v>1545.25</v>
      </c>
      <c r="AO85" s="608">
        <v>515.25</v>
      </c>
      <c r="AP85" s="611">
        <v>14.725</v>
      </c>
      <c r="AQ85" s="614">
        <v>14.725</v>
      </c>
      <c r="AR85" s="611">
        <v>1.075</v>
      </c>
      <c r="AS85" s="611">
        <v>9.5250000000000004</v>
      </c>
      <c r="AT85" s="614">
        <v>9.5250000000000004</v>
      </c>
      <c r="AU85" s="614">
        <v>2.125</v>
      </c>
      <c r="AV85" s="614">
        <v>19.75</v>
      </c>
      <c r="AW85" s="614">
        <v>19.75</v>
      </c>
      <c r="AX85" s="614">
        <v>1.05</v>
      </c>
      <c r="AY85" s="616"/>
      <c r="AZ85" s="615">
        <v>1808.75</v>
      </c>
      <c r="BA85" s="615">
        <v>1808.75</v>
      </c>
      <c r="BB85" s="608">
        <v>844.75</v>
      </c>
      <c r="BC85" s="611">
        <v>8.3000000000000007</v>
      </c>
      <c r="BD85" s="611">
        <v>8.3000000000000007</v>
      </c>
      <c r="BE85" s="611">
        <v>3.15</v>
      </c>
      <c r="BF85" s="611">
        <v>3.8250000000000002</v>
      </c>
      <c r="BG85" s="614">
        <v>3.8250000000000002</v>
      </c>
      <c r="BH85" s="614">
        <v>3.1749999999999998</v>
      </c>
      <c r="BI85" s="614">
        <v>15.744999999999999</v>
      </c>
      <c r="BJ85" s="614"/>
      <c r="BK85" s="620">
        <v>2.6150000000000002</v>
      </c>
    </row>
    <row r="86" spans="1:63" x14ac:dyDescent="0.2">
      <c r="A86" s="224">
        <v>979.57</v>
      </c>
      <c r="B86" s="607" t="s">
        <v>602</v>
      </c>
      <c r="C86" s="608">
        <v>1636.5</v>
      </c>
      <c r="D86" s="608">
        <v>1636.5</v>
      </c>
      <c r="E86" s="610">
        <v>1139</v>
      </c>
      <c r="F86" s="610">
        <v>2134</v>
      </c>
      <c r="G86" s="611">
        <v>21.4</v>
      </c>
      <c r="H86" s="612">
        <v>21.4</v>
      </c>
      <c r="I86" s="613">
        <v>18.2</v>
      </c>
      <c r="J86" s="613">
        <v>24.6</v>
      </c>
      <c r="K86" s="614">
        <v>17.149999999999999</v>
      </c>
      <c r="L86" s="612">
        <v>17.149999999999999</v>
      </c>
      <c r="M86" s="612">
        <v>12.9</v>
      </c>
      <c r="N86" s="612">
        <v>21.4</v>
      </c>
      <c r="O86" s="614">
        <v>25.05</v>
      </c>
      <c r="P86" s="614">
        <v>25.05</v>
      </c>
      <c r="Q86" s="615">
        <v>22.9</v>
      </c>
      <c r="R86" s="612">
        <v>27.2</v>
      </c>
      <c r="S86" s="616"/>
      <c r="T86" s="615">
        <v>1495</v>
      </c>
      <c r="U86" s="615">
        <v>1495</v>
      </c>
      <c r="V86" s="610">
        <v>1007</v>
      </c>
      <c r="W86" s="610">
        <v>1983</v>
      </c>
      <c r="X86" s="611">
        <v>10.45</v>
      </c>
      <c r="Y86" s="612">
        <v>10.45</v>
      </c>
      <c r="Z86" s="613">
        <v>10.4</v>
      </c>
      <c r="AA86" s="613">
        <v>10.5</v>
      </c>
      <c r="AB86" s="614">
        <v>6</v>
      </c>
      <c r="AC86" s="612">
        <v>6</v>
      </c>
      <c r="AD86" s="612">
        <v>5.0999999999999996</v>
      </c>
      <c r="AE86" s="612">
        <v>6.9</v>
      </c>
      <c r="AF86" s="614">
        <v>14.8</v>
      </c>
      <c r="AG86" s="614">
        <v>14.8</v>
      </c>
      <c r="AH86" s="612">
        <v>14.4</v>
      </c>
      <c r="AI86" s="617">
        <v>15.2</v>
      </c>
      <c r="AJ86" s="618"/>
      <c r="AK86" s="619">
        <v>979.57</v>
      </c>
      <c r="AL86" s="616"/>
      <c r="AM86" s="608">
        <v>1670</v>
      </c>
      <c r="AN86" s="608">
        <v>1670</v>
      </c>
      <c r="AO86" s="608">
        <v>640</v>
      </c>
      <c r="AP86" s="611">
        <v>16.97</v>
      </c>
      <c r="AQ86" s="614">
        <v>16.97</v>
      </c>
      <c r="AR86" s="611">
        <v>1.95</v>
      </c>
      <c r="AS86" s="611">
        <v>12.48</v>
      </c>
      <c r="AT86" s="614">
        <v>12.48</v>
      </c>
      <c r="AU86" s="614">
        <v>3.12</v>
      </c>
      <c r="AV86" s="614">
        <v>21.56</v>
      </c>
      <c r="AW86" s="614">
        <v>21.56</v>
      </c>
      <c r="AX86" s="614">
        <v>0.52000000000000313</v>
      </c>
      <c r="AY86" s="616"/>
      <c r="AZ86" s="615">
        <v>1521</v>
      </c>
      <c r="BA86" s="615">
        <v>1521</v>
      </c>
      <c r="BB86" s="608">
        <v>582.79999999999995</v>
      </c>
      <c r="BC86" s="611">
        <v>9.6125000000000007</v>
      </c>
      <c r="BD86" s="611">
        <v>9.6125000000000007</v>
      </c>
      <c r="BE86" s="611">
        <v>4.2874999999999996</v>
      </c>
      <c r="BF86" s="611">
        <v>3.95</v>
      </c>
      <c r="BG86" s="614">
        <v>4.05</v>
      </c>
      <c r="BH86" s="614">
        <v>3.15</v>
      </c>
      <c r="BI86" s="614">
        <v>17.704999999999998</v>
      </c>
      <c r="BJ86" s="614">
        <v>17.739999999999998</v>
      </c>
      <c r="BK86" s="620">
        <v>2.855</v>
      </c>
    </row>
    <row r="87" spans="1:63" x14ac:dyDescent="0.2">
      <c r="A87" s="224">
        <v>979.87</v>
      </c>
      <c r="B87" s="607" t="s">
        <v>602</v>
      </c>
      <c r="C87" s="608">
        <v>1097</v>
      </c>
      <c r="D87" s="609"/>
      <c r="E87" s="610">
        <v>576</v>
      </c>
      <c r="F87" s="610">
        <v>1618</v>
      </c>
      <c r="G87" s="611">
        <v>18.350000000000001</v>
      </c>
      <c r="H87" s="612"/>
      <c r="I87" s="613">
        <v>12.8</v>
      </c>
      <c r="J87" s="613">
        <v>23.9</v>
      </c>
      <c r="K87" s="614">
        <v>12.85</v>
      </c>
      <c r="L87" s="612"/>
      <c r="M87" s="612">
        <v>6.3</v>
      </c>
      <c r="N87" s="612">
        <v>19.399999999999999</v>
      </c>
      <c r="O87" s="614">
        <v>23.6</v>
      </c>
      <c r="P87" s="612"/>
      <c r="Q87" s="615">
        <v>19.3</v>
      </c>
      <c r="R87" s="612">
        <v>27.9</v>
      </c>
      <c r="S87" s="616"/>
      <c r="T87" s="615">
        <v>1678.5</v>
      </c>
      <c r="U87" s="610"/>
      <c r="V87" s="610">
        <v>1223</v>
      </c>
      <c r="W87" s="610">
        <v>2134</v>
      </c>
      <c r="X87" s="611">
        <v>10.45</v>
      </c>
      <c r="Y87" s="612"/>
      <c r="Z87" s="613">
        <v>10.4</v>
      </c>
      <c r="AA87" s="613">
        <v>10.5</v>
      </c>
      <c r="AB87" s="614">
        <v>6</v>
      </c>
      <c r="AC87" s="612"/>
      <c r="AD87" s="612">
        <v>5.0999999999999996</v>
      </c>
      <c r="AE87" s="612">
        <v>6.9</v>
      </c>
      <c r="AF87" s="614">
        <v>14.8</v>
      </c>
      <c r="AG87" s="614"/>
      <c r="AH87" s="612">
        <v>14.4</v>
      </c>
      <c r="AI87" s="617">
        <v>15.2</v>
      </c>
      <c r="AJ87" s="618"/>
      <c r="AK87" s="619">
        <v>979.87</v>
      </c>
      <c r="AL87" s="616"/>
      <c r="AM87" s="608">
        <v>1244.75</v>
      </c>
      <c r="AN87" s="608"/>
      <c r="AO87" s="608">
        <v>496.25</v>
      </c>
      <c r="AP87" s="611">
        <v>14.4</v>
      </c>
      <c r="AQ87" s="614"/>
      <c r="AR87" s="611">
        <v>2.75</v>
      </c>
      <c r="AS87" s="611">
        <v>9.4250000000000007</v>
      </c>
      <c r="AT87" s="614"/>
      <c r="AU87" s="614">
        <v>3.7250000000000001</v>
      </c>
      <c r="AV87" s="614">
        <v>19.475000000000001</v>
      </c>
      <c r="AW87" s="614"/>
      <c r="AX87" s="614">
        <v>1.675</v>
      </c>
      <c r="AY87" s="616"/>
      <c r="AZ87" s="615">
        <v>1726.1</v>
      </c>
      <c r="BA87" s="615"/>
      <c r="BB87" s="608">
        <v>654.29999999999995</v>
      </c>
      <c r="BC87" s="611">
        <v>8.84</v>
      </c>
      <c r="BD87" s="611"/>
      <c r="BE87" s="611">
        <v>1.84</v>
      </c>
      <c r="BF87" s="611">
        <v>4.8449999999999998</v>
      </c>
      <c r="BG87" s="614"/>
      <c r="BH87" s="614">
        <v>2.0550000000000002</v>
      </c>
      <c r="BI87" s="614">
        <v>13.675000000000001</v>
      </c>
      <c r="BJ87" s="614"/>
      <c r="BK87" s="620">
        <v>0.875</v>
      </c>
    </row>
    <row r="88" spans="1:63" x14ac:dyDescent="0.2">
      <c r="A88" s="224">
        <v>980.06500000000005</v>
      </c>
      <c r="B88" s="607" t="s">
        <v>602</v>
      </c>
      <c r="C88" s="608">
        <v>1100.5</v>
      </c>
      <c r="D88" s="608">
        <v>1100.5</v>
      </c>
      <c r="E88" s="610">
        <v>583</v>
      </c>
      <c r="F88" s="610">
        <v>1618</v>
      </c>
      <c r="G88" s="611">
        <v>18.399999999999999</v>
      </c>
      <c r="H88" s="612">
        <v>18.399999999999999</v>
      </c>
      <c r="I88" s="613">
        <v>12.9</v>
      </c>
      <c r="J88" s="613">
        <v>23.9</v>
      </c>
      <c r="K88" s="614">
        <v>13.2</v>
      </c>
      <c r="L88" s="612">
        <v>13.2</v>
      </c>
      <c r="M88" s="612">
        <v>7</v>
      </c>
      <c r="N88" s="612">
        <v>19.399999999999999</v>
      </c>
      <c r="O88" s="614">
        <v>23.6</v>
      </c>
      <c r="P88" s="612">
        <v>23.6</v>
      </c>
      <c r="Q88" s="615">
        <v>19.3</v>
      </c>
      <c r="R88" s="612">
        <v>27.9</v>
      </c>
      <c r="S88" s="616"/>
      <c r="T88" s="615">
        <v>1880.5</v>
      </c>
      <c r="U88" s="615">
        <v>1880.5</v>
      </c>
      <c r="V88" s="610">
        <v>1223</v>
      </c>
      <c r="W88" s="610">
        <v>2538</v>
      </c>
      <c r="X88" s="611">
        <v>8.15</v>
      </c>
      <c r="Y88" s="612">
        <v>8.15</v>
      </c>
      <c r="Z88" s="613">
        <v>5.5</v>
      </c>
      <c r="AA88" s="613">
        <v>10.8</v>
      </c>
      <c r="AB88" s="614">
        <v>4.3499999999999996</v>
      </c>
      <c r="AC88" s="612">
        <v>4.3499999999999996</v>
      </c>
      <c r="AD88" s="612">
        <v>1.8</v>
      </c>
      <c r="AE88" s="612">
        <v>6.9</v>
      </c>
      <c r="AF88" s="614">
        <v>14.95</v>
      </c>
      <c r="AG88" s="614">
        <v>14.95</v>
      </c>
      <c r="AH88" s="612">
        <v>14.7</v>
      </c>
      <c r="AI88" s="617">
        <v>15.2</v>
      </c>
      <c r="AJ88" s="618"/>
      <c r="AK88" s="619">
        <v>980.06500000000005</v>
      </c>
      <c r="AL88" s="616"/>
      <c r="AM88" s="608">
        <v>1148.3</v>
      </c>
      <c r="AN88" s="608">
        <v>1148.3</v>
      </c>
      <c r="AO88" s="608">
        <v>568.1</v>
      </c>
      <c r="AP88" s="611">
        <v>18.739999999999998</v>
      </c>
      <c r="AQ88" s="614">
        <v>18.739999999999998</v>
      </c>
      <c r="AR88" s="611">
        <v>5.88</v>
      </c>
      <c r="AS88" s="611">
        <v>13.78</v>
      </c>
      <c r="AT88" s="614">
        <v>13.78</v>
      </c>
      <c r="AU88" s="614">
        <v>7.06</v>
      </c>
      <c r="AV88" s="614">
        <v>23.24</v>
      </c>
      <c r="AW88" s="614">
        <v>23.24</v>
      </c>
      <c r="AX88" s="614">
        <v>4.66</v>
      </c>
      <c r="AY88" s="616"/>
      <c r="AZ88" s="615">
        <v>1900.6</v>
      </c>
      <c r="BA88" s="615">
        <v>1900.6</v>
      </c>
      <c r="BB88" s="608">
        <v>807.2</v>
      </c>
      <c r="BC88" s="611">
        <v>8.6</v>
      </c>
      <c r="BD88" s="611">
        <v>8.6</v>
      </c>
      <c r="BE88" s="611">
        <v>3.22</v>
      </c>
      <c r="BF88" s="611">
        <v>4.17</v>
      </c>
      <c r="BG88" s="614">
        <v>4.17</v>
      </c>
      <c r="BH88" s="614">
        <v>2.85</v>
      </c>
      <c r="BI88" s="614">
        <v>15.75</v>
      </c>
      <c r="BJ88" s="614">
        <v>15.75</v>
      </c>
      <c r="BK88" s="620">
        <v>2.95</v>
      </c>
    </row>
    <row r="89" spans="1:63" x14ac:dyDescent="0.2">
      <c r="A89" s="224">
        <v>980.26499999999999</v>
      </c>
      <c r="B89" s="607" t="s">
        <v>602</v>
      </c>
      <c r="C89" s="608">
        <v>1097</v>
      </c>
      <c r="D89" s="608">
        <v>1097</v>
      </c>
      <c r="E89" s="610">
        <v>576</v>
      </c>
      <c r="F89" s="610">
        <v>1618</v>
      </c>
      <c r="G89" s="611">
        <v>18.350000000000001</v>
      </c>
      <c r="H89" s="614">
        <v>18.350000000000001</v>
      </c>
      <c r="I89" s="613">
        <v>12.8</v>
      </c>
      <c r="J89" s="613">
        <v>23.9</v>
      </c>
      <c r="K89" s="614">
        <v>12.85</v>
      </c>
      <c r="L89" s="614">
        <v>12.85</v>
      </c>
      <c r="M89" s="612">
        <v>6.3</v>
      </c>
      <c r="N89" s="612">
        <v>19.399999999999999</v>
      </c>
      <c r="O89" s="614">
        <v>23.6</v>
      </c>
      <c r="P89" s="614">
        <v>23.6</v>
      </c>
      <c r="Q89" s="615">
        <v>19.3</v>
      </c>
      <c r="R89" s="612">
        <v>27.9</v>
      </c>
      <c r="S89" s="616"/>
      <c r="T89" s="615">
        <v>1603</v>
      </c>
      <c r="U89" s="615">
        <v>1603</v>
      </c>
      <c r="V89" s="610">
        <v>1223</v>
      </c>
      <c r="W89" s="610">
        <v>1983</v>
      </c>
      <c r="X89" s="611">
        <v>10.45</v>
      </c>
      <c r="Y89" s="614">
        <v>10.45</v>
      </c>
      <c r="Z89" s="613">
        <v>10.4</v>
      </c>
      <c r="AA89" s="613">
        <v>10.5</v>
      </c>
      <c r="AB89" s="614">
        <v>6</v>
      </c>
      <c r="AC89" s="614">
        <v>6</v>
      </c>
      <c r="AD89" s="612">
        <v>5.0999999999999996</v>
      </c>
      <c r="AE89" s="612">
        <v>6.9</v>
      </c>
      <c r="AF89" s="614">
        <v>14.8</v>
      </c>
      <c r="AG89" s="614">
        <v>14.8</v>
      </c>
      <c r="AH89" s="612">
        <v>14.4</v>
      </c>
      <c r="AI89" s="617">
        <v>15.2</v>
      </c>
      <c r="AJ89" s="618"/>
      <c r="AK89" s="619">
        <v>980.26499999999999</v>
      </c>
      <c r="AL89" s="616"/>
      <c r="AM89" s="608">
        <v>1249.7</v>
      </c>
      <c r="AN89" s="608">
        <v>1249.7</v>
      </c>
      <c r="AO89" s="608">
        <v>466.7</v>
      </c>
      <c r="AP89" s="611">
        <v>14.4</v>
      </c>
      <c r="AQ89" s="614">
        <v>14.4</v>
      </c>
      <c r="AR89" s="611">
        <v>2.75</v>
      </c>
      <c r="AS89" s="611">
        <v>9.4250000000000007</v>
      </c>
      <c r="AT89" s="614">
        <v>9.4250000000000007</v>
      </c>
      <c r="AU89" s="614">
        <v>3.7250000000000001</v>
      </c>
      <c r="AV89" s="614">
        <v>19.475000000000001</v>
      </c>
      <c r="AW89" s="614">
        <v>19.475000000000001</v>
      </c>
      <c r="AX89" s="614">
        <v>1.675</v>
      </c>
      <c r="AY89" s="616"/>
      <c r="AZ89" s="615">
        <v>1703.45</v>
      </c>
      <c r="BA89" s="615">
        <v>1703.45</v>
      </c>
      <c r="BB89" s="608">
        <v>631.65</v>
      </c>
      <c r="BC89" s="611">
        <v>10.33</v>
      </c>
      <c r="BD89" s="611">
        <v>10.33</v>
      </c>
      <c r="BE89" s="611">
        <v>0.39000000000000057</v>
      </c>
      <c r="BF89" s="611">
        <v>5.84</v>
      </c>
      <c r="BG89" s="614">
        <v>5.84</v>
      </c>
      <c r="BH89" s="614">
        <v>1.06</v>
      </c>
      <c r="BI89" s="614">
        <v>14.74</v>
      </c>
      <c r="BJ89" s="614">
        <v>14.74</v>
      </c>
      <c r="BK89" s="620">
        <v>-0.16</v>
      </c>
    </row>
    <row r="90" spans="1:63" x14ac:dyDescent="0.2">
      <c r="A90" s="224">
        <v>980.46500000000003</v>
      </c>
      <c r="B90" s="607" t="s">
        <v>602</v>
      </c>
      <c r="C90" s="608">
        <v>2299</v>
      </c>
      <c r="D90" s="609"/>
      <c r="E90" s="610">
        <v>583</v>
      </c>
      <c r="F90" s="610">
        <v>4015</v>
      </c>
      <c r="G90" s="611">
        <v>19.3</v>
      </c>
      <c r="H90" s="612"/>
      <c r="I90" s="613">
        <v>12.9</v>
      </c>
      <c r="J90" s="613">
        <v>25.7</v>
      </c>
      <c r="K90" s="614">
        <v>15</v>
      </c>
      <c r="L90" s="612"/>
      <c r="M90" s="612">
        <v>7</v>
      </c>
      <c r="N90" s="612">
        <v>23</v>
      </c>
      <c r="O90" s="614">
        <v>22.7</v>
      </c>
      <c r="P90" s="612"/>
      <c r="Q90" s="615">
        <v>17.5</v>
      </c>
      <c r="R90" s="612">
        <v>27.9</v>
      </c>
      <c r="S90" s="616"/>
      <c r="T90" s="615">
        <v>1495</v>
      </c>
      <c r="U90" s="615">
        <v>1495</v>
      </c>
      <c r="V90" s="610">
        <v>1007</v>
      </c>
      <c r="W90" s="610">
        <v>1983</v>
      </c>
      <c r="X90" s="611">
        <v>11.15</v>
      </c>
      <c r="Y90" s="614">
        <v>11.15</v>
      </c>
      <c r="Z90" s="613">
        <v>9.8000000000000007</v>
      </c>
      <c r="AA90" s="613">
        <v>12.5</v>
      </c>
      <c r="AB90" s="614">
        <v>5.9</v>
      </c>
      <c r="AC90" s="614">
        <v>5.9</v>
      </c>
      <c r="AD90" s="612">
        <v>4.7</v>
      </c>
      <c r="AE90" s="612">
        <v>7.1</v>
      </c>
      <c r="AF90" s="614">
        <v>19.2</v>
      </c>
      <c r="AG90" s="614"/>
      <c r="AH90" s="612">
        <v>15.2</v>
      </c>
      <c r="AI90" s="617">
        <v>23.2</v>
      </c>
      <c r="AJ90" s="618"/>
      <c r="AK90" s="619">
        <v>980.46500000000003</v>
      </c>
      <c r="AL90" s="616"/>
      <c r="AM90" s="608">
        <v>2458.6</v>
      </c>
      <c r="AN90" s="608"/>
      <c r="AO90" s="608">
        <v>1877.7</v>
      </c>
      <c r="AP90" s="611">
        <v>18.745000000000001</v>
      </c>
      <c r="AQ90" s="614"/>
      <c r="AR90" s="611">
        <v>6.9550000000000001</v>
      </c>
      <c r="AS90" s="611">
        <v>14.49</v>
      </c>
      <c r="AT90" s="614"/>
      <c r="AU90" s="614">
        <v>8.51</v>
      </c>
      <c r="AV90" s="614">
        <v>22.055</v>
      </c>
      <c r="AW90" s="614"/>
      <c r="AX90" s="614">
        <v>5.8449999999999998</v>
      </c>
      <c r="AY90" s="616"/>
      <c r="AZ90" s="615">
        <v>1691.5</v>
      </c>
      <c r="BA90" s="615">
        <v>1691.5</v>
      </c>
      <c r="BB90" s="608">
        <v>709</v>
      </c>
      <c r="BC90" s="611">
        <v>10.074999999999999</v>
      </c>
      <c r="BD90" s="611">
        <v>10.074999999999999</v>
      </c>
      <c r="BE90" s="611">
        <v>2.4249999999999998</v>
      </c>
      <c r="BF90" s="611">
        <v>4.9249999999999998</v>
      </c>
      <c r="BG90" s="614">
        <v>4.9249999999999998</v>
      </c>
      <c r="BH90" s="614">
        <v>2.1749999999999998</v>
      </c>
      <c r="BI90" s="614">
        <v>19.785</v>
      </c>
      <c r="BJ90" s="614"/>
      <c r="BK90" s="620">
        <v>4.7350000000000003</v>
      </c>
    </row>
    <row r="91" spans="1:63" x14ac:dyDescent="0.2">
      <c r="A91" s="224">
        <v>980.76</v>
      </c>
      <c r="B91" s="607" t="s">
        <v>602</v>
      </c>
      <c r="C91" s="608">
        <v>1100.5</v>
      </c>
      <c r="D91" s="608">
        <v>1269.5</v>
      </c>
      <c r="E91" s="610">
        <v>583</v>
      </c>
      <c r="F91" s="610">
        <v>1618</v>
      </c>
      <c r="G91" s="611">
        <v>18.399999999999999</v>
      </c>
      <c r="H91" s="612">
        <v>18.399999999999999</v>
      </c>
      <c r="I91" s="613">
        <v>12.9</v>
      </c>
      <c r="J91" s="613">
        <v>23.9</v>
      </c>
      <c r="K91" s="614">
        <v>13.2</v>
      </c>
      <c r="L91" s="612">
        <v>13.2</v>
      </c>
      <c r="M91" s="612">
        <v>7</v>
      </c>
      <c r="N91" s="612">
        <v>19.399999999999999</v>
      </c>
      <c r="O91" s="614">
        <v>23.6</v>
      </c>
      <c r="P91" s="612">
        <v>23.6</v>
      </c>
      <c r="Q91" s="615">
        <v>19.3</v>
      </c>
      <c r="R91" s="612">
        <v>27.9</v>
      </c>
      <c r="S91" s="616"/>
      <c r="T91" s="615">
        <v>1570.5</v>
      </c>
      <c r="U91" s="615">
        <v>1570.5</v>
      </c>
      <c r="V91" s="610">
        <v>1007</v>
      </c>
      <c r="W91" s="610">
        <v>2134</v>
      </c>
      <c r="X91" s="611">
        <v>10.45</v>
      </c>
      <c r="Y91" s="614">
        <v>10.45</v>
      </c>
      <c r="Z91" s="613">
        <v>10.4</v>
      </c>
      <c r="AA91" s="613">
        <v>10.5</v>
      </c>
      <c r="AB91" s="614">
        <v>6</v>
      </c>
      <c r="AC91" s="614">
        <v>6</v>
      </c>
      <c r="AD91" s="612">
        <v>5.0999999999999996</v>
      </c>
      <c r="AE91" s="612">
        <v>6.9</v>
      </c>
      <c r="AF91" s="614">
        <v>14.8</v>
      </c>
      <c r="AG91" s="614">
        <v>14.8</v>
      </c>
      <c r="AH91" s="612">
        <v>14.4</v>
      </c>
      <c r="AI91" s="617">
        <v>15.2</v>
      </c>
      <c r="AJ91" s="618"/>
      <c r="AK91" s="619">
        <v>980.76</v>
      </c>
      <c r="AL91" s="616"/>
      <c r="AM91" s="608">
        <v>1241.9000000000001</v>
      </c>
      <c r="AN91" s="608">
        <v>1241.9000000000001</v>
      </c>
      <c r="AO91" s="608">
        <v>523.70000000000005</v>
      </c>
      <c r="AP91" s="611">
        <v>15.67</v>
      </c>
      <c r="AQ91" s="614">
        <v>15.67</v>
      </c>
      <c r="AR91" s="611">
        <v>2.83</v>
      </c>
      <c r="AS91" s="611">
        <v>10.49</v>
      </c>
      <c r="AT91" s="614">
        <v>10.49</v>
      </c>
      <c r="AU91" s="614">
        <v>3.91</v>
      </c>
      <c r="AV91" s="614">
        <v>20.36</v>
      </c>
      <c r="AW91" s="614">
        <v>20.36</v>
      </c>
      <c r="AX91" s="614">
        <v>2.14</v>
      </c>
      <c r="AY91" s="616"/>
      <c r="AZ91" s="615">
        <v>1663.6</v>
      </c>
      <c r="BA91" s="615">
        <v>1663.6</v>
      </c>
      <c r="BB91" s="608">
        <v>716.8</v>
      </c>
      <c r="BC91" s="611">
        <v>9.4350000000000005</v>
      </c>
      <c r="BD91" s="611">
        <v>9.4350000000000005</v>
      </c>
      <c r="BE91" s="611">
        <v>2.4350000000000001</v>
      </c>
      <c r="BF91" s="611">
        <v>4.6349999999999998</v>
      </c>
      <c r="BG91" s="614">
        <v>4.6349999999999998</v>
      </c>
      <c r="BH91" s="614">
        <v>2.4049999999999998</v>
      </c>
      <c r="BI91" s="614">
        <v>16.175000000000001</v>
      </c>
      <c r="BJ91" s="614">
        <v>16.175000000000001</v>
      </c>
      <c r="BK91" s="620">
        <v>3.375</v>
      </c>
    </row>
    <row r="92" spans="1:63" x14ac:dyDescent="0.2">
      <c r="A92" s="224">
        <v>981.06</v>
      </c>
      <c r="B92" s="607" t="s">
        <v>602</v>
      </c>
      <c r="C92" s="608">
        <v>1100.5</v>
      </c>
      <c r="D92" s="608">
        <v>1269.5</v>
      </c>
      <c r="E92" s="610">
        <v>583</v>
      </c>
      <c r="F92" s="610">
        <v>1618</v>
      </c>
      <c r="G92" s="611">
        <v>19.350000000000001</v>
      </c>
      <c r="H92" s="614">
        <v>19.350000000000001</v>
      </c>
      <c r="I92" s="613">
        <v>14.8</v>
      </c>
      <c r="J92" s="613">
        <v>23.9</v>
      </c>
      <c r="K92" s="614">
        <v>13.95</v>
      </c>
      <c r="L92" s="614">
        <v>13.95</v>
      </c>
      <c r="M92" s="612">
        <v>8.5</v>
      </c>
      <c r="N92" s="612">
        <v>19.399999999999999</v>
      </c>
      <c r="O92" s="614">
        <v>23.6</v>
      </c>
      <c r="P92" s="612">
        <v>23.6</v>
      </c>
      <c r="Q92" s="615">
        <v>19.3</v>
      </c>
      <c r="R92" s="612">
        <v>27.9</v>
      </c>
      <c r="S92" s="616"/>
      <c r="T92" s="615">
        <v>1527.5</v>
      </c>
      <c r="U92" s="615">
        <v>1527.5</v>
      </c>
      <c r="V92" s="610">
        <v>921</v>
      </c>
      <c r="W92" s="610">
        <v>2134</v>
      </c>
      <c r="X92" s="611">
        <v>10.45</v>
      </c>
      <c r="Y92" s="614">
        <v>10.45</v>
      </c>
      <c r="Z92" s="613">
        <v>10.4</v>
      </c>
      <c r="AA92" s="613">
        <v>10.5</v>
      </c>
      <c r="AB92" s="614">
        <v>6</v>
      </c>
      <c r="AC92" s="614">
        <v>6</v>
      </c>
      <c r="AD92" s="612">
        <v>5.0999999999999996</v>
      </c>
      <c r="AE92" s="612">
        <v>6.9</v>
      </c>
      <c r="AF92" s="614">
        <v>14.8</v>
      </c>
      <c r="AG92" s="614">
        <v>14.8</v>
      </c>
      <c r="AH92" s="612">
        <v>14.4</v>
      </c>
      <c r="AI92" s="617">
        <v>15.2</v>
      </c>
      <c r="AJ92" s="618"/>
      <c r="AK92" s="619">
        <v>981.06</v>
      </c>
      <c r="AL92" s="616"/>
      <c r="AM92" s="608">
        <v>1241.9000000000001</v>
      </c>
      <c r="AN92" s="608">
        <v>1241.9000000000001</v>
      </c>
      <c r="AO92" s="608">
        <v>523.70000000000005</v>
      </c>
      <c r="AP92" s="611">
        <v>16.66</v>
      </c>
      <c r="AQ92" s="614">
        <v>16.66</v>
      </c>
      <c r="AR92" s="611">
        <v>3.19</v>
      </c>
      <c r="AS92" s="611">
        <v>11.55</v>
      </c>
      <c r="AT92" s="614">
        <v>11.55</v>
      </c>
      <c r="AU92" s="614">
        <v>4.0999999999999996</v>
      </c>
      <c r="AV92" s="614">
        <v>21.4</v>
      </c>
      <c r="AW92" s="614">
        <v>21.4</v>
      </c>
      <c r="AX92" s="614">
        <v>2.4500000000000002</v>
      </c>
      <c r="AY92" s="616"/>
      <c r="AZ92" s="615">
        <v>1615.5</v>
      </c>
      <c r="BA92" s="615">
        <v>1615.5</v>
      </c>
      <c r="BB92" s="608">
        <v>694.5</v>
      </c>
      <c r="BC92" s="611">
        <v>9.07</v>
      </c>
      <c r="BD92" s="611">
        <v>9.07</v>
      </c>
      <c r="BE92" s="611">
        <v>1.57</v>
      </c>
      <c r="BF92" s="611">
        <v>5.01</v>
      </c>
      <c r="BG92" s="614">
        <v>5.0250000000000004</v>
      </c>
      <c r="BH92" s="614">
        <v>1.89</v>
      </c>
      <c r="BI92" s="614">
        <v>13.9</v>
      </c>
      <c r="BJ92" s="614">
        <v>13.9</v>
      </c>
      <c r="BK92" s="620">
        <v>0.62000000000000099</v>
      </c>
    </row>
    <row r="93" spans="1:63" x14ac:dyDescent="0.2">
      <c r="A93" s="224">
        <v>981.46</v>
      </c>
      <c r="B93" s="607" t="s">
        <v>602</v>
      </c>
      <c r="C93" s="608">
        <v>1220</v>
      </c>
      <c r="D93" s="608">
        <v>1220</v>
      </c>
      <c r="E93" s="610">
        <v>576</v>
      </c>
      <c r="F93" s="610">
        <v>1864</v>
      </c>
      <c r="G93" s="611">
        <v>17.8</v>
      </c>
      <c r="H93" s="614">
        <v>17.8</v>
      </c>
      <c r="I93" s="613">
        <v>14.4</v>
      </c>
      <c r="J93" s="613">
        <v>21.2</v>
      </c>
      <c r="K93" s="614">
        <v>12.1</v>
      </c>
      <c r="L93" s="614">
        <v>12.1</v>
      </c>
      <c r="M93" s="612">
        <v>7.8</v>
      </c>
      <c r="N93" s="612">
        <v>16.399999999999999</v>
      </c>
      <c r="O93" s="614">
        <v>22.75</v>
      </c>
      <c r="P93" s="614">
        <v>22.75</v>
      </c>
      <c r="Q93" s="615">
        <v>17.600000000000001</v>
      </c>
      <c r="R93" s="612">
        <v>27.9</v>
      </c>
      <c r="S93" s="616"/>
      <c r="T93" s="615">
        <v>1678.5</v>
      </c>
      <c r="U93" s="615">
        <v>1678.5</v>
      </c>
      <c r="V93" s="610">
        <v>1223</v>
      </c>
      <c r="W93" s="610">
        <v>2134</v>
      </c>
      <c r="X93" s="611">
        <v>10.45</v>
      </c>
      <c r="Y93" s="614">
        <v>10.45</v>
      </c>
      <c r="Z93" s="613">
        <v>10.4</v>
      </c>
      <c r="AA93" s="613">
        <v>10.5</v>
      </c>
      <c r="AB93" s="614">
        <v>6</v>
      </c>
      <c r="AC93" s="614">
        <v>6</v>
      </c>
      <c r="AD93" s="612">
        <v>5.0999999999999996</v>
      </c>
      <c r="AE93" s="612">
        <v>6.9</v>
      </c>
      <c r="AF93" s="614">
        <v>14.8</v>
      </c>
      <c r="AG93" s="614">
        <v>14.8</v>
      </c>
      <c r="AH93" s="612">
        <v>14.4</v>
      </c>
      <c r="AI93" s="617">
        <v>15.2</v>
      </c>
      <c r="AJ93" s="618"/>
      <c r="AK93" s="619">
        <v>981.46</v>
      </c>
      <c r="AL93" s="616"/>
      <c r="AM93" s="608">
        <v>1377.5</v>
      </c>
      <c r="AN93" s="608">
        <v>1377.5</v>
      </c>
      <c r="AO93" s="608">
        <v>594.5</v>
      </c>
      <c r="AP93" s="611">
        <v>14.47</v>
      </c>
      <c r="AQ93" s="614">
        <v>14.47</v>
      </c>
      <c r="AR93" s="611">
        <v>2.41</v>
      </c>
      <c r="AS93" s="611">
        <v>9.39</v>
      </c>
      <c r="AT93" s="614">
        <v>9.39</v>
      </c>
      <c r="AU93" s="614">
        <v>3.21</v>
      </c>
      <c r="AV93" s="614">
        <v>19.66</v>
      </c>
      <c r="AW93" s="614">
        <v>19.66</v>
      </c>
      <c r="AX93" s="614">
        <v>2.84</v>
      </c>
      <c r="AY93" s="616"/>
      <c r="AZ93" s="615">
        <v>1732.9</v>
      </c>
      <c r="BA93" s="615">
        <v>1732.9</v>
      </c>
      <c r="BB93" s="608">
        <v>682.7</v>
      </c>
      <c r="BC93" s="611">
        <v>8.15</v>
      </c>
      <c r="BD93" s="611">
        <v>8.15</v>
      </c>
      <c r="BE93" s="611">
        <v>2.65</v>
      </c>
      <c r="BF93" s="611">
        <v>4.3499999999999996</v>
      </c>
      <c r="BG93" s="614">
        <v>4.3499999999999996</v>
      </c>
      <c r="BH93" s="614">
        <v>2.5499999999999998</v>
      </c>
      <c r="BI93" s="614">
        <v>13.225</v>
      </c>
      <c r="BJ93" s="614">
        <v>13.225</v>
      </c>
      <c r="BK93" s="620">
        <v>1.385</v>
      </c>
    </row>
    <row r="94" spans="1:63" x14ac:dyDescent="0.2">
      <c r="A94" s="224">
        <v>981.755</v>
      </c>
      <c r="B94" s="607" t="s">
        <v>602</v>
      </c>
      <c r="C94" s="608">
        <v>1240</v>
      </c>
      <c r="D94" s="608">
        <v>1240</v>
      </c>
      <c r="E94" s="610">
        <v>1139</v>
      </c>
      <c r="F94" s="610">
        <v>1341</v>
      </c>
      <c r="G94" s="611">
        <v>17.45</v>
      </c>
      <c r="H94" s="612">
        <v>17.45</v>
      </c>
      <c r="I94" s="613">
        <v>12.9</v>
      </c>
      <c r="J94" s="613">
        <v>22</v>
      </c>
      <c r="K94" s="614">
        <v>11.55</v>
      </c>
      <c r="L94" s="612">
        <v>11.55</v>
      </c>
      <c r="M94" s="612">
        <v>7</v>
      </c>
      <c r="N94" s="612">
        <v>16.100000000000001</v>
      </c>
      <c r="O94" s="614">
        <v>23.5</v>
      </c>
      <c r="P94" s="612">
        <v>23.5</v>
      </c>
      <c r="Q94" s="615">
        <v>19.8</v>
      </c>
      <c r="R94" s="612">
        <v>27.2</v>
      </c>
      <c r="S94" s="616"/>
      <c r="T94" s="615">
        <v>1678.5</v>
      </c>
      <c r="U94" s="615">
        <v>1678.5</v>
      </c>
      <c r="V94" s="610">
        <v>1223</v>
      </c>
      <c r="W94" s="610">
        <v>2134</v>
      </c>
      <c r="X94" s="611">
        <v>10.65</v>
      </c>
      <c r="Y94" s="614">
        <v>10.65</v>
      </c>
      <c r="Z94" s="613">
        <v>10.5</v>
      </c>
      <c r="AA94" s="613">
        <v>10.8</v>
      </c>
      <c r="AB94" s="614">
        <v>6</v>
      </c>
      <c r="AC94" s="614">
        <v>6</v>
      </c>
      <c r="AD94" s="612">
        <v>5.0999999999999996</v>
      </c>
      <c r="AE94" s="612">
        <v>6.9</v>
      </c>
      <c r="AF94" s="614">
        <v>14.95</v>
      </c>
      <c r="AG94" s="614">
        <v>14.95</v>
      </c>
      <c r="AH94" s="612">
        <v>14.7</v>
      </c>
      <c r="AI94" s="617">
        <v>15.2</v>
      </c>
      <c r="AJ94" s="618"/>
      <c r="AK94" s="619">
        <v>981.755</v>
      </c>
      <c r="AL94" s="616"/>
      <c r="AM94" s="608">
        <v>1230.0999999999999</v>
      </c>
      <c r="AN94" s="608">
        <v>1230.0999999999999</v>
      </c>
      <c r="AO94" s="608">
        <v>424.7</v>
      </c>
      <c r="AP94" s="611">
        <v>17.899999999999999</v>
      </c>
      <c r="AQ94" s="614">
        <v>17.899999999999999</v>
      </c>
      <c r="AR94" s="611">
        <v>5.24</v>
      </c>
      <c r="AS94" s="611">
        <v>12.54</v>
      </c>
      <c r="AT94" s="614">
        <v>12.54</v>
      </c>
      <c r="AU94" s="614">
        <v>5.54</v>
      </c>
      <c r="AV94" s="614">
        <v>23.02</v>
      </c>
      <c r="AW94" s="614">
        <v>23.02</v>
      </c>
      <c r="AX94" s="614">
        <v>4.5999999999999996</v>
      </c>
      <c r="AY94" s="616"/>
      <c r="AZ94" s="615">
        <v>1734.1</v>
      </c>
      <c r="BA94" s="615">
        <v>1734.1</v>
      </c>
      <c r="BB94" s="608">
        <v>723.1</v>
      </c>
      <c r="BC94" s="611">
        <v>9.33</v>
      </c>
      <c r="BD94" s="611">
        <v>9.33</v>
      </c>
      <c r="BE94" s="611">
        <v>2.83</v>
      </c>
      <c r="BF94" s="611">
        <v>4.76</v>
      </c>
      <c r="BG94" s="614">
        <v>4.76</v>
      </c>
      <c r="BH94" s="614">
        <v>2.2999999999999998</v>
      </c>
      <c r="BI94" s="614">
        <v>16.059999999999999</v>
      </c>
      <c r="BJ94" s="614">
        <v>16.059999999999999</v>
      </c>
      <c r="BK94" s="620">
        <v>3.74</v>
      </c>
    </row>
    <row r="95" spans="1:63" x14ac:dyDescent="0.2">
      <c r="A95" s="224">
        <v>982.43</v>
      </c>
      <c r="B95" s="607" t="s">
        <v>602</v>
      </c>
      <c r="C95" s="608">
        <v>1100.5</v>
      </c>
      <c r="D95" s="608">
        <v>1100.5</v>
      </c>
      <c r="E95" s="610">
        <v>583</v>
      </c>
      <c r="F95" s="610">
        <v>1618</v>
      </c>
      <c r="G95" s="611">
        <v>18.399999999999999</v>
      </c>
      <c r="H95" s="612">
        <v>18.399999999999999</v>
      </c>
      <c r="I95" s="613">
        <v>12.9</v>
      </c>
      <c r="J95" s="613">
        <v>23.9</v>
      </c>
      <c r="K95" s="614">
        <v>13.2</v>
      </c>
      <c r="L95" s="612">
        <v>13.2</v>
      </c>
      <c r="M95" s="612">
        <v>7</v>
      </c>
      <c r="N95" s="612">
        <v>19.399999999999999</v>
      </c>
      <c r="O95" s="614">
        <v>23.6</v>
      </c>
      <c r="P95" s="612">
        <v>23.6</v>
      </c>
      <c r="Q95" s="615">
        <v>19.3</v>
      </c>
      <c r="R95" s="612">
        <v>27.9</v>
      </c>
      <c r="S95" s="616"/>
      <c r="T95" s="615">
        <v>1854.5</v>
      </c>
      <c r="U95" s="615">
        <v>1854.5</v>
      </c>
      <c r="V95" s="610">
        <v>1223</v>
      </c>
      <c r="W95" s="610">
        <v>2486</v>
      </c>
      <c r="X95" s="611">
        <v>7.95</v>
      </c>
      <c r="Y95" s="614">
        <v>7.95</v>
      </c>
      <c r="Z95" s="613">
        <v>5.5</v>
      </c>
      <c r="AA95" s="613">
        <v>10.4</v>
      </c>
      <c r="AB95" s="614">
        <v>4.3499999999999996</v>
      </c>
      <c r="AC95" s="614">
        <v>4.3499999999999996</v>
      </c>
      <c r="AD95" s="612">
        <v>1.8</v>
      </c>
      <c r="AE95" s="612">
        <v>6.9</v>
      </c>
      <c r="AF95" s="614">
        <v>14.8</v>
      </c>
      <c r="AG95" s="614">
        <v>14.8</v>
      </c>
      <c r="AH95" s="612">
        <v>14.4</v>
      </c>
      <c r="AI95" s="617">
        <v>15.2</v>
      </c>
      <c r="AJ95" s="618"/>
      <c r="AK95" s="619">
        <v>982.43</v>
      </c>
      <c r="AL95" s="616"/>
      <c r="AM95" s="608">
        <v>1246.5</v>
      </c>
      <c r="AN95" s="608">
        <v>1246.5</v>
      </c>
      <c r="AO95" s="608">
        <v>494.5</v>
      </c>
      <c r="AP95" s="611">
        <v>15</v>
      </c>
      <c r="AQ95" s="614">
        <v>15</v>
      </c>
      <c r="AR95" s="611">
        <v>2.15</v>
      </c>
      <c r="AS95" s="611">
        <v>9.9</v>
      </c>
      <c r="AT95" s="614">
        <v>9.9</v>
      </c>
      <c r="AU95" s="614">
        <v>3.25</v>
      </c>
      <c r="AV95" s="614">
        <v>19.774999999999999</v>
      </c>
      <c r="AW95" s="614">
        <v>19.774999999999999</v>
      </c>
      <c r="AX95" s="614">
        <v>1.375</v>
      </c>
      <c r="AY95" s="616"/>
      <c r="AZ95" s="615">
        <v>1779.5</v>
      </c>
      <c r="BA95" s="615">
        <v>1779.5</v>
      </c>
      <c r="BB95" s="608">
        <v>737.7</v>
      </c>
      <c r="BC95" s="611">
        <v>8.01</v>
      </c>
      <c r="BD95" s="611">
        <v>8.01</v>
      </c>
      <c r="BE95" s="611">
        <v>2.63</v>
      </c>
      <c r="BF95" s="611">
        <v>4.1100000000000003</v>
      </c>
      <c r="BG95" s="614">
        <v>4.1100000000000003</v>
      </c>
      <c r="BH95" s="614">
        <v>2.79</v>
      </c>
      <c r="BI95" s="614">
        <v>13.66</v>
      </c>
      <c r="BJ95" s="614">
        <v>13.66</v>
      </c>
      <c r="BK95" s="620">
        <v>0.86000000000000121</v>
      </c>
    </row>
    <row r="96" spans="1:63" x14ac:dyDescent="0.2">
      <c r="A96" s="224">
        <v>982.63</v>
      </c>
      <c r="B96" s="607" t="s">
        <v>602</v>
      </c>
      <c r="C96" s="608">
        <v>1378.5</v>
      </c>
      <c r="D96" s="608">
        <v>1378.5</v>
      </c>
      <c r="E96" s="610">
        <v>1139</v>
      </c>
      <c r="F96" s="610">
        <v>1618</v>
      </c>
      <c r="G96" s="611">
        <v>21.4</v>
      </c>
      <c r="H96" s="612">
        <v>21.4</v>
      </c>
      <c r="I96" s="613">
        <v>18.2</v>
      </c>
      <c r="J96" s="613">
        <v>24.6</v>
      </c>
      <c r="K96" s="614">
        <v>17.149999999999999</v>
      </c>
      <c r="L96" s="612">
        <v>17.149999999999999</v>
      </c>
      <c r="M96" s="612">
        <v>12.9</v>
      </c>
      <c r="N96" s="612">
        <v>21.4</v>
      </c>
      <c r="O96" s="614">
        <v>25.05</v>
      </c>
      <c r="P96" s="614">
        <v>25.05</v>
      </c>
      <c r="Q96" s="615">
        <v>22.9</v>
      </c>
      <c r="R96" s="612">
        <v>27.2</v>
      </c>
      <c r="S96" s="616"/>
      <c r="T96" s="615">
        <v>1452</v>
      </c>
      <c r="U96" s="615">
        <v>1452</v>
      </c>
      <c r="V96" s="610">
        <v>921</v>
      </c>
      <c r="W96" s="610">
        <v>1983</v>
      </c>
      <c r="X96" s="611">
        <v>10.1</v>
      </c>
      <c r="Y96" s="614">
        <v>10.1</v>
      </c>
      <c r="Z96" s="613">
        <v>9.8000000000000007</v>
      </c>
      <c r="AA96" s="613">
        <v>10.4</v>
      </c>
      <c r="AB96" s="614">
        <v>5.8</v>
      </c>
      <c r="AC96" s="614">
        <v>5.8</v>
      </c>
      <c r="AD96" s="612">
        <v>4.7</v>
      </c>
      <c r="AE96" s="612">
        <v>6.9</v>
      </c>
      <c r="AF96" s="614">
        <v>14.8</v>
      </c>
      <c r="AG96" s="614">
        <v>14.8</v>
      </c>
      <c r="AH96" s="612">
        <v>14.4</v>
      </c>
      <c r="AI96" s="617">
        <v>15.2</v>
      </c>
      <c r="AJ96" s="618"/>
      <c r="AK96" s="619">
        <v>982.63</v>
      </c>
      <c r="AL96" s="616"/>
      <c r="AM96" s="608">
        <v>1573.5</v>
      </c>
      <c r="AN96" s="608">
        <v>1573.5</v>
      </c>
      <c r="AO96" s="608">
        <v>565.29999999999995</v>
      </c>
      <c r="AP96" s="611">
        <v>17.414999999999999</v>
      </c>
      <c r="AQ96" s="614">
        <v>17.414999999999999</v>
      </c>
      <c r="AR96" s="611">
        <v>2.9249999999999998</v>
      </c>
      <c r="AS96" s="611">
        <v>12.91</v>
      </c>
      <c r="AT96" s="614">
        <v>12.91</v>
      </c>
      <c r="AU96" s="614">
        <v>4.1399999999999997</v>
      </c>
      <c r="AV96" s="614">
        <v>22.045000000000002</v>
      </c>
      <c r="AW96" s="614">
        <v>22.045000000000002</v>
      </c>
      <c r="AX96" s="614">
        <v>1.3149999999999999</v>
      </c>
      <c r="AY96" s="616"/>
      <c r="AZ96" s="615">
        <v>1577.75</v>
      </c>
      <c r="BA96" s="615">
        <v>1577.75</v>
      </c>
      <c r="BB96" s="608">
        <v>656.75</v>
      </c>
      <c r="BC96" s="611">
        <v>8.93</v>
      </c>
      <c r="BD96" s="611">
        <v>8.93</v>
      </c>
      <c r="BE96" s="611">
        <v>1.71</v>
      </c>
      <c r="BF96" s="611">
        <v>4.93</v>
      </c>
      <c r="BG96" s="614">
        <v>4.9249999999999998</v>
      </c>
      <c r="BH96" s="614">
        <v>1.97</v>
      </c>
      <c r="BI96" s="614">
        <v>14.76</v>
      </c>
      <c r="BJ96" s="614">
        <v>14.76</v>
      </c>
      <c r="BK96" s="620">
        <v>-0.24</v>
      </c>
    </row>
    <row r="97" spans="1:63" x14ac:dyDescent="0.2">
      <c r="A97" s="224">
        <v>983.02499999999998</v>
      </c>
      <c r="B97" s="607" t="s">
        <v>602</v>
      </c>
      <c r="C97" s="608">
        <v>1100.5</v>
      </c>
      <c r="D97" s="608">
        <v>1100.5</v>
      </c>
      <c r="E97" s="610">
        <v>583</v>
      </c>
      <c r="F97" s="610">
        <v>1618</v>
      </c>
      <c r="G97" s="611">
        <v>18.399999999999999</v>
      </c>
      <c r="H97" s="612">
        <v>18.399999999999999</v>
      </c>
      <c r="I97" s="613">
        <v>12.9</v>
      </c>
      <c r="J97" s="613">
        <v>23.9</v>
      </c>
      <c r="K97" s="614">
        <v>13.2</v>
      </c>
      <c r="L97" s="612">
        <v>13.2</v>
      </c>
      <c r="M97" s="612">
        <v>7</v>
      </c>
      <c r="N97" s="612">
        <v>19.399999999999999</v>
      </c>
      <c r="O97" s="614">
        <v>23.6</v>
      </c>
      <c r="P97" s="614">
        <v>23.6</v>
      </c>
      <c r="Q97" s="615">
        <v>19.3</v>
      </c>
      <c r="R97" s="612">
        <v>27.9</v>
      </c>
      <c r="S97" s="616"/>
      <c r="T97" s="615">
        <v>1678.5</v>
      </c>
      <c r="U97" s="615">
        <v>1678.5</v>
      </c>
      <c r="V97" s="610">
        <v>1223</v>
      </c>
      <c r="W97" s="610">
        <v>2134</v>
      </c>
      <c r="X97" s="611">
        <v>10.65</v>
      </c>
      <c r="Y97" s="614">
        <v>10.65</v>
      </c>
      <c r="Z97" s="613">
        <v>10.5</v>
      </c>
      <c r="AA97" s="613">
        <v>10.8</v>
      </c>
      <c r="AB97" s="614">
        <v>6</v>
      </c>
      <c r="AC97" s="614">
        <v>6</v>
      </c>
      <c r="AD97" s="612">
        <v>5.0999999999999996</v>
      </c>
      <c r="AE97" s="612">
        <v>6.9</v>
      </c>
      <c r="AF97" s="614">
        <v>14.95</v>
      </c>
      <c r="AG97" s="614">
        <v>14.95</v>
      </c>
      <c r="AH97" s="612">
        <v>14.7</v>
      </c>
      <c r="AI97" s="617">
        <v>15.2</v>
      </c>
      <c r="AJ97" s="618"/>
      <c r="AK97" s="619">
        <v>983.02499999999998</v>
      </c>
      <c r="AL97" s="616"/>
      <c r="AM97" s="608">
        <v>1160.25</v>
      </c>
      <c r="AN97" s="608">
        <v>1160.25</v>
      </c>
      <c r="AO97" s="608">
        <v>580.75</v>
      </c>
      <c r="AP97" s="611">
        <v>18.824999999999999</v>
      </c>
      <c r="AQ97" s="614">
        <v>18.824999999999999</v>
      </c>
      <c r="AR97" s="611">
        <v>5.9749999999999996</v>
      </c>
      <c r="AS97" s="611">
        <v>13.925000000000001</v>
      </c>
      <c r="AT97" s="614">
        <v>13.925000000000001</v>
      </c>
      <c r="AU97" s="614">
        <v>7.2750000000000004</v>
      </c>
      <c r="AV97" s="614">
        <v>23.15</v>
      </c>
      <c r="AW97" s="614">
        <v>23.15</v>
      </c>
      <c r="AX97" s="614">
        <v>4.75</v>
      </c>
      <c r="AY97" s="616"/>
      <c r="AZ97" s="615">
        <v>1734.9</v>
      </c>
      <c r="BA97" s="615">
        <v>1734.9</v>
      </c>
      <c r="BB97" s="608">
        <v>641.5</v>
      </c>
      <c r="BC97" s="611">
        <v>9.66</v>
      </c>
      <c r="BD97" s="611">
        <v>9.66</v>
      </c>
      <c r="BE97" s="611">
        <v>2.16</v>
      </c>
      <c r="BF97" s="611">
        <v>5.07</v>
      </c>
      <c r="BG97" s="614">
        <v>5.07</v>
      </c>
      <c r="BH97" s="614">
        <v>1.95</v>
      </c>
      <c r="BI97" s="614">
        <v>16.57</v>
      </c>
      <c r="BJ97" s="614">
        <v>16.57</v>
      </c>
      <c r="BK97" s="620">
        <v>3.29</v>
      </c>
    </row>
    <row r="98" spans="1:63" x14ac:dyDescent="0.2">
      <c r="A98" s="224">
        <v>983.33</v>
      </c>
      <c r="B98" s="607" t="s">
        <v>602</v>
      </c>
      <c r="C98" s="608">
        <v>2831</v>
      </c>
      <c r="D98" s="609"/>
      <c r="E98" s="610">
        <v>576</v>
      </c>
      <c r="F98" s="610">
        <v>5086</v>
      </c>
      <c r="G98" s="611">
        <v>17.45</v>
      </c>
      <c r="H98" s="612"/>
      <c r="I98" s="613">
        <v>9.1999999999999993</v>
      </c>
      <c r="J98" s="613">
        <v>25.7</v>
      </c>
      <c r="K98" s="614">
        <v>13.3</v>
      </c>
      <c r="L98" s="612"/>
      <c r="M98" s="612">
        <v>3.6</v>
      </c>
      <c r="N98" s="612">
        <v>23</v>
      </c>
      <c r="O98" s="614">
        <v>20.55</v>
      </c>
      <c r="P98" s="612"/>
      <c r="Q98" s="615">
        <v>13.2</v>
      </c>
      <c r="R98" s="612">
        <v>27.9</v>
      </c>
      <c r="S98" s="616"/>
      <c r="T98" s="615">
        <v>1914</v>
      </c>
      <c r="U98" s="610"/>
      <c r="V98" s="610">
        <v>1007</v>
      </c>
      <c r="W98" s="610">
        <v>2821</v>
      </c>
      <c r="X98" s="611">
        <v>9</v>
      </c>
      <c r="Y98" s="612"/>
      <c r="Z98" s="613">
        <v>5.5</v>
      </c>
      <c r="AA98" s="613">
        <v>12.5</v>
      </c>
      <c r="AB98" s="614">
        <v>4.05</v>
      </c>
      <c r="AC98" s="612"/>
      <c r="AD98" s="612">
        <v>1</v>
      </c>
      <c r="AE98" s="612">
        <v>7.1</v>
      </c>
      <c r="AF98" s="614">
        <v>19.95</v>
      </c>
      <c r="AG98" s="614"/>
      <c r="AH98" s="612">
        <v>15.2</v>
      </c>
      <c r="AI98" s="617">
        <v>24.7</v>
      </c>
      <c r="AJ98" s="618"/>
      <c r="AK98" s="619">
        <v>983.33</v>
      </c>
      <c r="AL98" s="616"/>
      <c r="AM98" s="608">
        <v>2831</v>
      </c>
      <c r="AN98" s="608"/>
      <c r="AO98" s="608">
        <v>2255</v>
      </c>
      <c r="AP98" s="611">
        <v>17.45</v>
      </c>
      <c r="AQ98" s="614"/>
      <c r="AR98" s="611">
        <v>8.25</v>
      </c>
      <c r="AS98" s="611">
        <v>13.3</v>
      </c>
      <c r="AT98" s="614"/>
      <c r="AU98" s="614">
        <v>9.6999999999999993</v>
      </c>
      <c r="AV98" s="614">
        <v>20.55</v>
      </c>
      <c r="AW98" s="614"/>
      <c r="AX98" s="614">
        <v>7.35</v>
      </c>
      <c r="AY98" s="616"/>
      <c r="AZ98" s="615">
        <v>1892.5</v>
      </c>
      <c r="BA98" s="615"/>
      <c r="BB98" s="608">
        <v>928.5</v>
      </c>
      <c r="BC98" s="611">
        <v>8.8249999999999993</v>
      </c>
      <c r="BD98" s="611"/>
      <c r="BE98" s="611">
        <v>3.6749999999999998</v>
      </c>
      <c r="BF98" s="611">
        <v>3.875</v>
      </c>
      <c r="BG98" s="614"/>
      <c r="BH98" s="614">
        <v>3.2250000000000001</v>
      </c>
      <c r="BI98" s="614">
        <v>19.350000000000001</v>
      </c>
      <c r="BJ98" s="614"/>
      <c r="BK98" s="620">
        <v>6.22</v>
      </c>
    </row>
    <row r="99" spans="1:63" x14ac:dyDescent="0.2">
      <c r="A99" s="224">
        <v>983.61</v>
      </c>
      <c r="B99" s="607" t="s">
        <v>602</v>
      </c>
      <c r="C99" s="608">
        <v>1097</v>
      </c>
      <c r="D99" s="609"/>
      <c r="E99" s="610">
        <v>576</v>
      </c>
      <c r="F99" s="610">
        <v>1618</v>
      </c>
      <c r="G99" s="611">
        <v>19.25</v>
      </c>
      <c r="H99" s="612"/>
      <c r="I99" s="613">
        <v>12.8</v>
      </c>
      <c r="J99" s="613">
        <v>25.7</v>
      </c>
      <c r="K99" s="614">
        <v>14.65</v>
      </c>
      <c r="L99" s="612"/>
      <c r="M99" s="612">
        <v>6.3</v>
      </c>
      <c r="N99" s="612">
        <v>23</v>
      </c>
      <c r="O99" s="614">
        <v>23.6</v>
      </c>
      <c r="P99" s="612"/>
      <c r="Q99" s="615">
        <v>19.3</v>
      </c>
      <c r="R99" s="612">
        <v>27.9</v>
      </c>
      <c r="S99" s="616"/>
      <c r="T99" s="615">
        <v>1570.5</v>
      </c>
      <c r="U99" s="610"/>
      <c r="V99" s="610">
        <v>1007</v>
      </c>
      <c r="W99" s="610">
        <v>2134</v>
      </c>
      <c r="X99" s="611">
        <v>10.45</v>
      </c>
      <c r="Y99" s="612"/>
      <c r="Z99" s="613">
        <v>10.4</v>
      </c>
      <c r="AA99" s="613">
        <v>10.5</v>
      </c>
      <c r="AB99" s="614">
        <v>6</v>
      </c>
      <c r="AC99" s="612"/>
      <c r="AD99" s="612">
        <v>5.0999999999999996</v>
      </c>
      <c r="AE99" s="612">
        <v>6.9</v>
      </c>
      <c r="AF99" s="614">
        <v>14.8</v>
      </c>
      <c r="AG99" s="614"/>
      <c r="AH99" s="612">
        <v>14.4</v>
      </c>
      <c r="AI99" s="617">
        <v>15.2</v>
      </c>
      <c r="AJ99" s="618"/>
      <c r="AK99" s="619">
        <v>983.61</v>
      </c>
      <c r="AL99" s="616"/>
      <c r="AM99" s="608">
        <v>1303.7</v>
      </c>
      <c r="AN99" s="608"/>
      <c r="AO99" s="608">
        <v>520.70000000000005</v>
      </c>
      <c r="AP99" s="611">
        <v>14.2</v>
      </c>
      <c r="AQ99" s="614"/>
      <c r="AR99" s="611">
        <v>2.3199999999999998</v>
      </c>
      <c r="AS99" s="611">
        <v>9.58</v>
      </c>
      <c r="AT99" s="614"/>
      <c r="AU99" s="614">
        <v>3.76</v>
      </c>
      <c r="AV99" s="614">
        <v>18.329999999999998</v>
      </c>
      <c r="AW99" s="614"/>
      <c r="AX99" s="614">
        <v>1.47</v>
      </c>
      <c r="AY99" s="616"/>
      <c r="AZ99" s="615">
        <v>1663.6</v>
      </c>
      <c r="BA99" s="615"/>
      <c r="BB99" s="608">
        <v>716.8</v>
      </c>
      <c r="BC99" s="611">
        <v>9.4350000000000005</v>
      </c>
      <c r="BD99" s="611"/>
      <c r="BE99" s="611">
        <v>2.4350000000000001</v>
      </c>
      <c r="BF99" s="611">
        <v>4.6349999999999998</v>
      </c>
      <c r="BG99" s="614"/>
      <c r="BH99" s="614">
        <v>2.4049999999999998</v>
      </c>
      <c r="BI99" s="614">
        <v>16.175000000000001</v>
      </c>
      <c r="BJ99" s="614"/>
      <c r="BK99" s="620">
        <v>3.375</v>
      </c>
    </row>
    <row r="100" spans="1:63" x14ac:dyDescent="0.2">
      <c r="A100" s="224">
        <v>984.01</v>
      </c>
      <c r="B100" s="607" t="s">
        <v>602</v>
      </c>
      <c r="C100" s="608">
        <v>1378.5</v>
      </c>
      <c r="D100" s="609"/>
      <c r="E100" s="610">
        <v>1139</v>
      </c>
      <c r="F100" s="610">
        <v>1618</v>
      </c>
      <c r="G100" s="611">
        <v>18.75</v>
      </c>
      <c r="H100" s="612"/>
      <c r="I100" s="613">
        <v>12.9</v>
      </c>
      <c r="J100" s="613">
        <v>24.6</v>
      </c>
      <c r="K100" s="614">
        <v>14.2</v>
      </c>
      <c r="L100" s="612"/>
      <c r="M100" s="612">
        <v>7</v>
      </c>
      <c r="N100" s="612">
        <v>21.4</v>
      </c>
      <c r="O100" s="614">
        <v>23.5</v>
      </c>
      <c r="P100" s="612"/>
      <c r="Q100" s="615">
        <v>19.8</v>
      </c>
      <c r="R100" s="612">
        <v>27.2</v>
      </c>
      <c r="S100" s="616"/>
      <c r="T100" s="615">
        <v>1495</v>
      </c>
      <c r="U100" s="610"/>
      <c r="V100" s="610">
        <v>1007</v>
      </c>
      <c r="W100" s="610">
        <v>1983</v>
      </c>
      <c r="X100" s="611">
        <v>10.1</v>
      </c>
      <c r="Y100" s="612"/>
      <c r="Z100" s="613">
        <v>9.8000000000000007</v>
      </c>
      <c r="AA100" s="613">
        <v>10.4</v>
      </c>
      <c r="AB100" s="614">
        <v>5.8</v>
      </c>
      <c r="AC100" s="612"/>
      <c r="AD100" s="612">
        <v>4.7</v>
      </c>
      <c r="AE100" s="612">
        <v>6.9</v>
      </c>
      <c r="AF100" s="614">
        <v>14.8</v>
      </c>
      <c r="AG100" s="614"/>
      <c r="AH100" s="612">
        <v>14.4</v>
      </c>
      <c r="AI100" s="617">
        <v>15.2</v>
      </c>
      <c r="AJ100" s="618"/>
      <c r="AK100" s="619">
        <v>984.01</v>
      </c>
      <c r="AL100" s="616"/>
      <c r="AM100" s="608">
        <v>1541</v>
      </c>
      <c r="AN100" s="608"/>
      <c r="AO100" s="608">
        <v>511</v>
      </c>
      <c r="AP100" s="611">
        <v>15.175000000000001</v>
      </c>
      <c r="AQ100" s="614"/>
      <c r="AR100" s="611">
        <v>2.3250000000000002</v>
      </c>
      <c r="AS100" s="611">
        <v>10.574999999999999</v>
      </c>
      <c r="AT100" s="614"/>
      <c r="AU100" s="614">
        <v>3.5750000000000002</v>
      </c>
      <c r="AV100" s="614">
        <v>20.175000000000001</v>
      </c>
      <c r="AW100" s="614"/>
      <c r="AX100" s="614">
        <v>0.625</v>
      </c>
      <c r="AY100" s="616"/>
      <c r="AZ100" s="615">
        <v>1620.1</v>
      </c>
      <c r="BA100" s="615"/>
      <c r="BB100" s="608">
        <v>664.7</v>
      </c>
      <c r="BC100" s="611">
        <v>9.44</v>
      </c>
      <c r="BD100" s="611"/>
      <c r="BE100" s="611">
        <v>2.2200000000000002</v>
      </c>
      <c r="BF100" s="611">
        <v>4.75</v>
      </c>
      <c r="BG100" s="614"/>
      <c r="BH100" s="614">
        <v>2.27</v>
      </c>
      <c r="BI100" s="614">
        <v>17.34</v>
      </c>
      <c r="BJ100" s="614"/>
      <c r="BK100" s="620">
        <v>2.34</v>
      </c>
    </row>
    <row r="101" spans="1:63" x14ac:dyDescent="0.2">
      <c r="A101" s="224">
        <v>984.31</v>
      </c>
      <c r="B101" s="607" t="s">
        <v>602</v>
      </c>
      <c r="C101" s="608">
        <v>1100.5</v>
      </c>
      <c r="D101" s="608">
        <v>1100.5</v>
      </c>
      <c r="E101" s="610">
        <v>583</v>
      </c>
      <c r="F101" s="610">
        <v>1618</v>
      </c>
      <c r="G101" s="611">
        <v>21.05</v>
      </c>
      <c r="H101" s="614">
        <v>21.05</v>
      </c>
      <c r="I101" s="613">
        <v>18.2</v>
      </c>
      <c r="J101" s="613">
        <v>23.9</v>
      </c>
      <c r="K101" s="614">
        <v>16.149999999999999</v>
      </c>
      <c r="L101" s="612">
        <v>16.149999999999999</v>
      </c>
      <c r="M101" s="612">
        <v>12.9</v>
      </c>
      <c r="N101" s="612">
        <v>19.399999999999999</v>
      </c>
      <c r="O101" s="614">
        <v>25.4</v>
      </c>
      <c r="P101" s="612">
        <v>25.4</v>
      </c>
      <c r="Q101" s="615">
        <v>22.9</v>
      </c>
      <c r="R101" s="612">
        <v>27.9</v>
      </c>
      <c r="S101" s="616"/>
      <c r="T101" s="615">
        <v>1495</v>
      </c>
      <c r="U101" s="615">
        <v>1495</v>
      </c>
      <c r="V101" s="610">
        <v>1007</v>
      </c>
      <c r="W101" s="610">
        <v>1983</v>
      </c>
      <c r="X101" s="611">
        <v>10.45</v>
      </c>
      <c r="Y101" s="612">
        <v>10.45</v>
      </c>
      <c r="Z101" s="613">
        <v>10.4</v>
      </c>
      <c r="AA101" s="613">
        <v>10.5</v>
      </c>
      <c r="AB101" s="614">
        <v>6</v>
      </c>
      <c r="AC101" s="612">
        <v>6</v>
      </c>
      <c r="AD101" s="612">
        <v>5.0999999999999996</v>
      </c>
      <c r="AE101" s="612">
        <v>6.9</v>
      </c>
      <c r="AF101" s="614">
        <v>14.8</v>
      </c>
      <c r="AG101" s="614">
        <v>14.8</v>
      </c>
      <c r="AH101" s="612">
        <v>14.4</v>
      </c>
      <c r="AI101" s="617">
        <v>15.2</v>
      </c>
      <c r="AJ101" s="618"/>
      <c r="AK101" s="619">
        <v>984.31</v>
      </c>
      <c r="AL101" s="616"/>
      <c r="AM101" s="608">
        <v>1237.3</v>
      </c>
      <c r="AN101" s="608">
        <v>1237.3</v>
      </c>
      <c r="AO101" s="608">
        <v>552.9</v>
      </c>
      <c r="AP101" s="611">
        <v>17.170000000000002</v>
      </c>
      <c r="AQ101" s="614">
        <v>17.170000000000002</v>
      </c>
      <c r="AR101" s="611">
        <v>2.68</v>
      </c>
      <c r="AS101" s="611">
        <v>12.21</v>
      </c>
      <c r="AT101" s="614">
        <v>12.21</v>
      </c>
      <c r="AU101" s="614">
        <v>3.44</v>
      </c>
      <c r="AV101" s="614">
        <v>22.114999999999998</v>
      </c>
      <c r="AW101" s="614">
        <v>22.114999999999998</v>
      </c>
      <c r="AX101" s="614">
        <v>1.7350000000000001</v>
      </c>
      <c r="AY101" s="616"/>
      <c r="AZ101" s="615">
        <v>1540.9</v>
      </c>
      <c r="BA101" s="615">
        <v>1540.9</v>
      </c>
      <c r="BB101" s="608">
        <v>578</v>
      </c>
      <c r="BC101" s="611">
        <v>11.08</v>
      </c>
      <c r="BD101" s="611">
        <v>11.08</v>
      </c>
      <c r="BE101" s="611">
        <v>1.21</v>
      </c>
      <c r="BF101" s="611">
        <v>5.91</v>
      </c>
      <c r="BG101" s="614">
        <v>5.91</v>
      </c>
      <c r="BH101" s="614">
        <v>1.17</v>
      </c>
      <c r="BI101" s="614">
        <v>17.704999999999998</v>
      </c>
      <c r="BJ101" s="614">
        <v>17.704999999999998</v>
      </c>
      <c r="BK101" s="620">
        <v>2.855</v>
      </c>
    </row>
    <row r="102" spans="1:63" x14ac:dyDescent="0.2">
      <c r="A102" s="224">
        <v>984.60500000000002</v>
      </c>
      <c r="B102" s="607" t="s">
        <v>602</v>
      </c>
      <c r="C102" s="608">
        <v>1097</v>
      </c>
      <c r="D102" s="609"/>
      <c r="E102" s="610">
        <v>576</v>
      </c>
      <c r="F102" s="610">
        <v>1618</v>
      </c>
      <c r="G102" s="611">
        <v>18.350000000000001</v>
      </c>
      <c r="H102" s="612"/>
      <c r="I102" s="613">
        <v>12.8</v>
      </c>
      <c r="J102" s="613">
        <v>23.9</v>
      </c>
      <c r="K102" s="614">
        <v>12.85</v>
      </c>
      <c r="L102" s="612"/>
      <c r="M102" s="612">
        <v>6.3</v>
      </c>
      <c r="N102" s="612">
        <v>19.399999999999999</v>
      </c>
      <c r="O102" s="614">
        <v>23.6</v>
      </c>
      <c r="P102" s="612"/>
      <c r="Q102" s="615">
        <v>19.3</v>
      </c>
      <c r="R102" s="612">
        <v>27.9</v>
      </c>
      <c r="S102" s="616"/>
      <c r="T102" s="615">
        <v>1703.5</v>
      </c>
      <c r="U102" s="610"/>
      <c r="V102" s="610">
        <v>921</v>
      </c>
      <c r="W102" s="610">
        <v>2486</v>
      </c>
      <c r="X102" s="611">
        <v>6.95</v>
      </c>
      <c r="Y102" s="612"/>
      <c r="Z102" s="613">
        <v>3.5</v>
      </c>
      <c r="AA102" s="613">
        <v>10.4</v>
      </c>
      <c r="AB102" s="614">
        <v>3.6</v>
      </c>
      <c r="AC102" s="612"/>
      <c r="AD102" s="612">
        <v>0.3</v>
      </c>
      <c r="AE102" s="612">
        <v>6.9</v>
      </c>
      <c r="AF102" s="614">
        <v>11</v>
      </c>
      <c r="AG102" s="614"/>
      <c r="AH102" s="612">
        <v>7.6</v>
      </c>
      <c r="AI102" s="617">
        <v>14.4</v>
      </c>
      <c r="AJ102" s="618"/>
      <c r="AK102" s="619">
        <v>984.60500000000002</v>
      </c>
      <c r="AL102" s="616"/>
      <c r="AM102" s="608">
        <v>1249.7</v>
      </c>
      <c r="AN102" s="608"/>
      <c r="AO102" s="608">
        <v>466.7</v>
      </c>
      <c r="AP102" s="611">
        <v>13.58</v>
      </c>
      <c r="AQ102" s="614"/>
      <c r="AR102" s="611">
        <v>2.2200000000000002</v>
      </c>
      <c r="AS102" s="611">
        <v>8.56</v>
      </c>
      <c r="AT102" s="614"/>
      <c r="AU102" s="614">
        <v>3.34</v>
      </c>
      <c r="AV102" s="614">
        <v>18.95</v>
      </c>
      <c r="AW102" s="614"/>
      <c r="AX102" s="614">
        <v>0.84999999999999787</v>
      </c>
      <c r="AY102" s="616"/>
      <c r="AZ102" s="615">
        <v>1737</v>
      </c>
      <c r="BA102" s="615"/>
      <c r="BB102" s="608">
        <v>816</v>
      </c>
      <c r="BC102" s="611">
        <v>7.16</v>
      </c>
      <c r="BD102" s="611"/>
      <c r="BE102" s="611">
        <v>3.66</v>
      </c>
      <c r="BF102" s="611">
        <v>3.62</v>
      </c>
      <c r="BG102" s="614"/>
      <c r="BH102" s="614">
        <v>3.32</v>
      </c>
      <c r="BI102" s="614">
        <v>11</v>
      </c>
      <c r="BJ102" s="614"/>
      <c r="BK102" s="620">
        <v>3.4</v>
      </c>
    </row>
    <row r="103" spans="1:63" x14ac:dyDescent="0.2">
      <c r="A103" s="224">
        <v>984.82</v>
      </c>
      <c r="B103" s="607" t="s">
        <v>602</v>
      </c>
      <c r="C103" s="608">
        <v>1097</v>
      </c>
      <c r="D103" s="608">
        <v>1097</v>
      </c>
      <c r="E103" s="610">
        <v>576</v>
      </c>
      <c r="F103" s="610">
        <v>1618</v>
      </c>
      <c r="G103" s="611">
        <v>18.75</v>
      </c>
      <c r="H103" s="614">
        <v>18.75</v>
      </c>
      <c r="I103" s="613">
        <v>12.9</v>
      </c>
      <c r="J103" s="613">
        <v>24.6</v>
      </c>
      <c r="K103" s="614">
        <v>14.2</v>
      </c>
      <c r="L103" s="614">
        <v>14.2</v>
      </c>
      <c r="M103" s="612">
        <v>7</v>
      </c>
      <c r="N103" s="612">
        <v>21.4</v>
      </c>
      <c r="O103" s="614">
        <v>23.5</v>
      </c>
      <c r="P103" s="614">
        <v>23.5</v>
      </c>
      <c r="Q103" s="615">
        <v>19.8</v>
      </c>
      <c r="R103" s="612">
        <v>27.2</v>
      </c>
      <c r="S103" s="616"/>
      <c r="T103" s="615">
        <v>1495</v>
      </c>
      <c r="U103" s="615">
        <v>1495</v>
      </c>
      <c r="V103" s="610">
        <v>1007</v>
      </c>
      <c r="W103" s="610">
        <v>1983</v>
      </c>
      <c r="X103" s="611">
        <v>10.45</v>
      </c>
      <c r="Y103" s="612">
        <v>10.45</v>
      </c>
      <c r="Z103" s="613">
        <v>10.4</v>
      </c>
      <c r="AA103" s="613">
        <v>10.5</v>
      </c>
      <c r="AB103" s="614">
        <v>6</v>
      </c>
      <c r="AC103" s="612">
        <v>6</v>
      </c>
      <c r="AD103" s="612">
        <v>5.0999999999999996</v>
      </c>
      <c r="AE103" s="612">
        <v>6.9</v>
      </c>
      <c r="AF103" s="614">
        <v>14.8</v>
      </c>
      <c r="AG103" s="614">
        <v>14.8</v>
      </c>
      <c r="AH103" s="612">
        <v>14.4</v>
      </c>
      <c r="AI103" s="617">
        <v>15.2</v>
      </c>
      <c r="AJ103" s="618"/>
      <c r="AK103" s="619">
        <v>984.82</v>
      </c>
      <c r="AL103" s="616"/>
      <c r="AM103" s="608">
        <v>1303.7</v>
      </c>
      <c r="AN103" s="608">
        <v>1303.7</v>
      </c>
      <c r="AO103" s="608">
        <v>520.70000000000005</v>
      </c>
      <c r="AP103" s="611">
        <v>15.88</v>
      </c>
      <c r="AQ103" s="614">
        <v>15.88</v>
      </c>
      <c r="AR103" s="611">
        <v>3.04</v>
      </c>
      <c r="AS103" s="611">
        <v>11.3</v>
      </c>
      <c r="AT103" s="614">
        <v>11.3</v>
      </c>
      <c r="AU103" s="614">
        <v>4.3</v>
      </c>
      <c r="AV103" s="614">
        <v>20.79</v>
      </c>
      <c r="AW103" s="614">
        <v>20.79</v>
      </c>
      <c r="AX103" s="614">
        <v>1.29</v>
      </c>
      <c r="AY103" s="616"/>
      <c r="AZ103" s="615">
        <v>1517.75</v>
      </c>
      <c r="BA103" s="615">
        <v>1517.75</v>
      </c>
      <c r="BB103" s="608">
        <v>570.95000000000005</v>
      </c>
      <c r="BC103" s="611">
        <v>11.01</v>
      </c>
      <c r="BD103" s="611">
        <v>11.01</v>
      </c>
      <c r="BE103" s="611">
        <v>1.07</v>
      </c>
      <c r="BF103" s="611">
        <v>5.92</v>
      </c>
      <c r="BG103" s="614">
        <v>5.93</v>
      </c>
      <c r="BH103" s="614">
        <v>1.1399999999999999</v>
      </c>
      <c r="BI103" s="614">
        <v>17.29</v>
      </c>
      <c r="BJ103" s="614">
        <v>17.29</v>
      </c>
      <c r="BK103" s="620">
        <v>2.39</v>
      </c>
    </row>
    <row r="104" spans="1:63" x14ac:dyDescent="0.2">
      <c r="A104" s="224">
        <v>985.02</v>
      </c>
      <c r="B104" s="607" t="s">
        <v>602</v>
      </c>
      <c r="C104" s="608">
        <v>1378.5</v>
      </c>
      <c r="D104" s="609"/>
      <c r="E104" s="610">
        <v>1139</v>
      </c>
      <c r="F104" s="610">
        <v>1618</v>
      </c>
      <c r="G104" s="611">
        <v>18.75</v>
      </c>
      <c r="H104" s="612"/>
      <c r="I104" s="613">
        <v>12.9</v>
      </c>
      <c r="J104" s="613">
        <v>24.6</v>
      </c>
      <c r="K104" s="614">
        <v>14.2</v>
      </c>
      <c r="L104" s="612"/>
      <c r="M104" s="612">
        <v>7</v>
      </c>
      <c r="N104" s="612">
        <v>21.4</v>
      </c>
      <c r="O104" s="614">
        <v>23.5</v>
      </c>
      <c r="P104" s="612"/>
      <c r="Q104" s="615">
        <v>19.8</v>
      </c>
      <c r="R104" s="612">
        <v>27.2</v>
      </c>
      <c r="S104" s="616"/>
      <c r="T104" s="615">
        <v>1678.5</v>
      </c>
      <c r="U104" s="610"/>
      <c r="V104" s="610">
        <v>1223</v>
      </c>
      <c r="W104" s="610">
        <v>2134</v>
      </c>
      <c r="X104" s="611">
        <v>10.45</v>
      </c>
      <c r="Y104" s="612"/>
      <c r="Z104" s="613">
        <v>10.4</v>
      </c>
      <c r="AA104" s="613">
        <v>10.5</v>
      </c>
      <c r="AB104" s="614">
        <v>6</v>
      </c>
      <c r="AC104" s="612"/>
      <c r="AD104" s="612">
        <v>5.0999999999999996</v>
      </c>
      <c r="AE104" s="612">
        <v>6.9</v>
      </c>
      <c r="AF104" s="614">
        <v>14.8</v>
      </c>
      <c r="AG104" s="614"/>
      <c r="AH104" s="612">
        <v>14.4</v>
      </c>
      <c r="AI104" s="617">
        <v>15.2</v>
      </c>
      <c r="AJ104" s="618"/>
      <c r="AK104" s="619">
        <v>985.02</v>
      </c>
      <c r="AL104" s="616"/>
      <c r="AM104" s="608">
        <v>1467.9</v>
      </c>
      <c r="AN104" s="608"/>
      <c r="AO104" s="608">
        <v>459.7</v>
      </c>
      <c r="AP104" s="611">
        <v>15.88</v>
      </c>
      <c r="AQ104" s="614"/>
      <c r="AR104" s="611">
        <v>3.04</v>
      </c>
      <c r="AS104" s="611">
        <v>11.3</v>
      </c>
      <c r="AT104" s="614"/>
      <c r="AU104" s="614">
        <v>4.3</v>
      </c>
      <c r="AV104" s="614">
        <v>20.79</v>
      </c>
      <c r="AW104" s="614"/>
      <c r="AX104" s="614">
        <v>1.29</v>
      </c>
      <c r="AY104" s="616"/>
      <c r="AZ104" s="615">
        <v>1732.9</v>
      </c>
      <c r="BA104" s="615"/>
      <c r="BB104" s="608">
        <v>682.7</v>
      </c>
      <c r="BC104" s="611">
        <v>8.61</v>
      </c>
      <c r="BD104" s="611"/>
      <c r="BE104" s="611">
        <v>2.11</v>
      </c>
      <c r="BF104" s="611">
        <v>4.68</v>
      </c>
      <c r="BG104" s="614"/>
      <c r="BH104" s="614">
        <v>2.2200000000000002</v>
      </c>
      <c r="BI104" s="614">
        <v>13.45</v>
      </c>
      <c r="BJ104" s="614"/>
      <c r="BK104" s="620">
        <v>1.1299999999999999</v>
      </c>
    </row>
    <row r="105" spans="1:63" x14ac:dyDescent="0.2">
      <c r="A105" s="224">
        <v>985.22</v>
      </c>
      <c r="B105" s="607" t="s">
        <v>602</v>
      </c>
      <c r="C105" s="608">
        <v>1355</v>
      </c>
      <c r="D105" s="609"/>
      <c r="E105" s="610">
        <v>576</v>
      </c>
      <c r="F105" s="610">
        <v>2134</v>
      </c>
      <c r="G105" s="611">
        <v>18.100000000000001</v>
      </c>
      <c r="H105" s="612"/>
      <c r="I105" s="613">
        <v>10.5</v>
      </c>
      <c r="J105" s="613">
        <v>25.7</v>
      </c>
      <c r="K105" s="614">
        <v>14.05</v>
      </c>
      <c r="L105" s="612"/>
      <c r="M105" s="612">
        <v>5.0999999999999996</v>
      </c>
      <c r="N105" s="612">
        <v>23</v>
      </c>
      <c r="O105" s="614">
        <v>20.55</v>
      </c>
      <c r="P105" s="612"/>
      <c r="Q105" s="615">
        <v>13.2</v>
      </c>
      <c r="R105" s="612">
        <v>27.9</v>
      </c>
      <c r="S105" s="616"/>
      <c r="T105" s="615">
        <v>1495</v>
      </c>
      <c r="U105" s="610"/>
      <c r="V105" s="610">
        <v>1007</v>
      </c>
      <c r="W105" s="610">
        <v>1983</v>
      </c>
      <c r="X105" s="611">
        <v>10.45</v>
      </c>
      <c r="Y105" s="612"/>
      <c r="Z105" s="613">
        <v>10.4</v>
      </c>
      <c r="AA105" s="613">
        <v>10.5</v>
      </c>
      <c r="AB105" s="614">
        <v>6</v>
      </c>
      <c r="AC105" s="612"/>
      <c r="AD105" s="612">
        <v>5.0999999999999996</v>
      </c>
      <c r="AE105" s="612">
        <v>6.9</v>
      </c>
      <c r="AF105" s="614">
        <v>14.8</v>
      </c>
      <c r="AG105" s="614"/>
      <c r="AH105" s="612">
        <v>14.4</v>
      </c>
      <c r="AI105" s="617">
        <v>15.2</v>
      </c>
      <c r="AJ105" s="618"/>
      <c r="AK105" s="619">
        <v>985.22</v>
      </c>
      <c r="AL105" s="616"/>
      <c r="AM105" s="608">
        <v>1528.55</v>
      </c>
      <c r="AN105" s="608"/>
      <c r="AO105" s="608">
        <v>711.05</v>
      </c>
      <c r="AP105" s="611">
        <v>12.55</v>
      </c>
      <c r="AQ105" s="614"/>
      <c r="AR105" s="611">
        <v>2.44</v>
      </c>
      <c r="AS105" s="611">
        <v>8.19</v>
      </c>
      <c r="AT105" s="614"/>
      <c r="AU105" s="614">
        <v>3.54</v>
      </c>
      <c r="AV105" s="614">
        <v>15.824999999999999</v>
      </c>
      <c r="AW105" s="614"/>
      <c r="AX105" s="614">
        <v>2.625</v>
      </c>
      <c r="AY105" s="616"/>
      <c r="AZ105" s="615">
        <v>1514.5</v>
      </c>
      <c r="BA105" s="615"/>
      <c r="BB105" s="608">
        <v>559.1</v>
      </c>
      <c r="BC105" s="611">
        <v>9.7249999999999996</v>
      </c>
      <c r="BD105" s="611"/>
      <c r="BE105" s="611">
        <v>1.7250000000000001</v>
      </c>
      <c r="BF105" s="611">
        <v>5.94</v>
      </c>
      <c r="BG105" s="614"/>
      <c r="BH105" s="614">
        <v>1.08</v>
      </c>
      <c r="BI105" s="614">
        <v>17.975000000000001</v>
      </c>
      <c r="BJ105" s="614"/>
      <c r="BK105" s="620">
        <v>3.0249999999999999</v>
      </c>
    </row>
    <row r="106" spans="1:63" x14ac:dyDescent="0.2">
      <c r="A106" s="224">
        <v>985.42</v>
      </c>
      <c r="B106" s="607" t="s">
        <v>602</v>
      </c>
      <c r="C106" s="608">
        <v>1636.5</v>
      </c>
      <c r="D106" s="609"/>
      <c r="E106" s="610">
        <v>1139</v>
      </c>
      <c r="F106" s="610">
        <v>2134</v>
      </c>
      <c r="G106" s="611">
        <v>18.75</v>
      </c>
      <c r="H106" s="612"/>
      <c r="I106" s="613">
        <v>12.9</v>
      </c>
      <c r="J106" s="613">
        <v>24.6</v>
      </c>
      <c r="K106" s="614">
        <v>14.2</v>
      </c>
      <c r="L106" s="612"/>
      <c r="M106" s="612">
        <v>7</v>
      </c>
      <c r="N106" s="612">
        <v>21.4</v>
      </c>
      <c r="O106" s="614">
        <v>23.5</v>
      </c>
      <c r="P106" s="612"/>
      <c r="Q106" s="615">
        <v>19.8</v>
      </c>
      <c r="R106" s="612">
        <v>27.2</v>
      </c>
      <c r="S106" s="616"/>
      <c r="T106" s="615">
        <v>1527.5</v>
      </c>
      <c r="U106" s="610"/>
      <c r="V106" s="610">
        <v>921</v>
      </c>
      <c r="W106" s="610">
        <v>2134</v>
      </c>
      <c r="X106" s="611">
        <v>11.5</v>
      </c>
      <c r="Y106" s="612"/>
      <c r="Z106" s="613">
        <v>10.5</v>
      </c>
      <c r="AA106" s="613">
        <v>12.5</v>
      </c>
      <c r="AB106" s="614">
        <v>6.1</v>
      </c>
      <c r="AC106" s="612"/>
      <c r="AD106" s="612">
        <v>5.0999999999999996</v>
      </c>
      <c r="AE106" s="612">
        <v>7.1</v>
      </c>
      <c r="AF106" s="614">
        <v>19.95</v>
      </c>
      <c r="AG106" s="614"/>
      <c r="AH106" s="612">
        <v>15.2</v>
      </c>
      <c r="AI106" s="617">
        <v>24.7</v>
      </c>
      <c r="AJ106" s="618"/>
      <c r="AK106" s="619">
        <v>985.42</v>
      </c>
      <c r="AL106" s="616"/>
      <c r="AM106" s="608">
        <v>1901.5</v>
      </c>
      <c r="AN106" s="608"/>
      <c r="AO106" s="608">
        <v>984.9</v>
      </c>
      <c r="AP106" s="611">
        <v>18.489999999999998</v>
      </c>
      <c r="AQ106" s="614"/>
      <c r="AR106" s="611">
        <v>6.55</v>
      </c>
      <c r="AS106" s="611">
        <v>14.52</v>
      </c>
      <c r="AT106" s="614"/>
      <c r="AU106" s="614">
        <v>7.52</v>
      </c>
      <c r="AV106" s="614">
        <v>23.18</v>
      </c>
      <c r="AW106" s="614"/>
      <c r="AX106" s="614">
        <v>4.3</v>
      </c>
      <c r="AY106" s="616"/>
      <c r="AZ106" s="615">
        <v>1699.25</v>
      </c>
      <c r="BA106" s="615"/>
      <c r="BB106" s="608">
        <v>778.25</v>
      </c>
      <c r="BC106" s="611">
        <v>10.25</v>
      </c>
      <c r="BD106" s="611"/>
      <c r="BE106" s="611">
        <v>2.25</v>
      </c>
      <c r="BF106" s="611">
        <v>5.77</v>
      </c>
      <c r="BG106" s="614"/>
      <c r="BH106" s="614">
        <v>1.33</v>
      </c>
      <c r="BI106" s="614">
        <v>19.664999999999999</v>
      </c>
      <c r="BJ106" s="614"/>
      <c r="BK106" s="620">
        <v>5.9050000000000002</v>
      </c>
    </row>
    <row r="107" spans="1:63" x14ac:dyDescent="0.2">
      <c r="A107" s="224">
        <v>987.35500000000002</v>
      </c>
      <c r="B107" s="607" t="s">
        <v>602</v>
      </c>
      <c r="C107" s="608">
        <v>1100.5</v>
      </c>
      <c r="D107" s="608">
        <v>1100.5</v>
      </c>
      <c r="E107" s="610">
        <v>583</v>
      </c>
      <c r="F107" s="610">
        <v>1618</v>
      </c>
      <c r="G107" s="611">
        <v>18.399999999999999</v>
      </c>
      <c r="H107" s="612">
        <v>18.399999999999999</v>
      </c>
      <c r="I107" s="613">
        <v>12.9</v>
      </c>
      <c r="J107" s="613">
        <v>23.9</v>
      </c>
      <c r="K107" s="614">
        <v>13.2</v>
      </c>
      <c r="L107" s="612">
        <v>13.2</v>
      </c>
      <c r="M107" s="612">
        <v>7</v>
      </c>
      <c r="N107" s="612">
        <v>19.399999999999999</v>
      </c>
      <c r="O107" s="614">
        <v>23.6</v>
      </c>
      <c r="P107" s="612">
        <v>23.6</v>
      </c>
      <c r="Q107" s="615">
        <v>19.3</v>
      </c>
      <c r="R107" s="612">
        <v>27.9</v>
      </c>
      <c r="S107" s="616"/>
      <c r="T107" s="615">
        <v>1678.5</v>
      </c>
      <c r="U107" s="615">
        <v>1678.5</v>
      </c>
      <c r="V107" s="610">
        <v>1223</v>
      </c>
      <c r="W107" s="610">
        <v>2134</v>
      </c>
      <c r="X107" s="611">
        <v>10.65</v>
      </c>
      <c r="Y107" s="612">
        <v>10.65</v>
      </c>
      <c r="Z107" s="613">
        <v>10.5</v>
      </c>
      <c r="AA107" s="613">
        <v>10.8</v>
      </c>
      <c r="AB107" s="614">
        <v>6</v>
      </c>
      <c r="AC107" s="612">
        <v>6</v>
      </c>
      <c r="AD107" s="612">
        <v>5.0999999999999996</v>
      </c>
      <c r="AE107" s="612">
        <v>6.9</v>
      </c>
      <c r="AF107" s="614">
        <v>14.95</v>
      </c>
      <c r="AG107" s="614">
        <v>14.95</v>
      </c>
      <c r="AH107" s="612">
        <v>14.7</v>
      </c>
      <c r="AI107" s="617">
        <v>15.2</v>
      </c>
      <c r="AJ107" s="618"/>
      <c r="AK107" s="619">
        <v>987.35500000000002</v>
      </c>
      <c r="AL107" s="616"/>
      <c r="AM107" s="608">
        <v>1303.7</v>
      </c>
      <c r="AN107" s="608">
        <v>1303.7</v>
      </c>
      <c r="AO107" s="608">
        <v>580.75</v>
      </c>
      <c r="AP107" s="611">
        <v>18.824999999999999</v>
      </c>
      <c r="AQ107" s="614">
        <v>18.824999999999999</v>
      </c>
      <c r="AR107" s="611">
        <v>5.9749999999999996</v>
      </c>
      <c r="AS107" s="611">
        <v>13.925000000000001</v>
      </c>
      <c r="AT107" s="614">
        <v>13.925000000000001</v>
      </c>
      <c r="AU107" s="614">
        <v>7.2750000000000004</v>
      </c>
      <c r="AV107" s="614">
        <v>23.15</v>
      </c>
      <c r="AW107" s="614">
        <v>23.15</v>
      </c>
      <c r="AX107" s="614">
        <v>4.75</v>
      </c>
      <c r="AY107" s="616"/>
      <c r="AZ107" s="615">
        <v>1704</v>
      </c>
      <c r="BA107" s="615">
        <v>1704</v>
      </c>
      <c r="BB107" s="608">
        <v>632</v>
      </c>
      <c r="BC107" s="611">
        <v>9.4949999999999992</v>
      </c>
      <c r="BD107" s="611">
        <v>9.4949999999999992</v>
      </c>
      <c r="BE107" s="611">
        <v>2.4950000000000001</v>
      </c>
      <c r="BF107" s="611">
        <v>4.915</v>
      </c>
      <c r="BG107" s="614">
        <v>4.915</v>
      </c>
      <c r="BH107" s="614">
        <v>2.125</v>
      </c>
      <c r="BI107" s="614">
        <v>15.875</v>
      </c>
      <c r="BJ107" s="614">
        <v>15.875</v>
      </c>
      <c r="BK107" s="620">
        <v>3.0750000000000002</v>
      </c>
    </row>
    <row r="108" spans="1:63" x14ac:dyDescent="0.2">
      <c r="A108" s="224">
        <v>987.56</v>
      </c>
      <c r="B108" s="607" t="s">
        <v>602</v>
      </c>
      <c r="C108" s="608">
        <v>1355</v>
      </c>
      <c r="D108" s="609"/>
      <c r="E108" s="610">
        <v>576</v>
      </c>
      <c r="F108" s="610">
        <v>2134</v>
      </c>
      <c r="G108" s="611">
        <v>18.100000000000001</v>
      </c>
      <c r="H108" s="612"/>
      <c r="I108" s="613">
        <v>10.5</v>
      </c>
      <c r="J108" s="613">
        <v>25.7</v>
      </c>
      <c r="K108" s="614">
        <v>14.05</v>
      </c>
      <c r="L108" s="612"/>
      <c r="M108" s="612">
        <v>5.0999999999999996</v>
      </c>
      <c r="N108" s="612">
        <v>23</v>
      </c>
      <c r="O108" s="614">
        <v>20.55</v>
      </c>
      <c r="P108" s="612"/>
      <c r="Q108" s="615">
        <v>13.2</v>
      </c>
      <c r="R108" s="612">
        <v>27.9</v>
      </c>
      <c r="S108" s="616"/>
      <c r="T108" s="615">
        <v>1527.5</v>
      </c>
      <c r="U108" s="610"/>
      <c r="V108" s="610">
        <v>921</v>
      </c>
      <c r="W108" s="610">
        <v>2134</v>
      </c>
      <c r="X108" s="611">
        <v>10.45</v>
      </c>
      <c r="Y108" s="612"/>
      <c r="Z108" s="613">
        <v>10.4</v>
      </c>
      <c r="AA108" s="613">
        <v>10.5</v>
      </c>
      <c r="AB108" s="614">
        <v>6</v>
      </c>
      <c r="AC108" s="612"/>
      <c r="AD108" s="612">
        <v>5.0999999999999996</v>
      </c>
      <c r="AE108" s="612">
        <v>6.9</v>
      </c>
      <c r="AF108" s="614">
        <v>12.4</v>
      </c>
      <c r="AG108" s="614"/>
      <c r="AH108" s="612">
        <v>10.4</v>
      </c>
      <c r="AI108" s="617">
        <v>14.4</v>
      </c>
      <c r="AJ108" s="618"/>
      <c r="AK108" s="619">
        <v>987.56</v>
      </c>
      <c r="AL108" s="616"/>
      <c r="AM108" s="608">
        <v>1528.2</v>
      </c>
      <c r="AN108" s="608"/>
      <c r="AO108" s="608">
        <v>676.2</v>
      </c>
      <c r="AP108" s="611">
        <v>11.85</v>
      </c>
      <c r="AQ108" s="614"/>
      <c r="AR108" s="611">
        <v>1.61</v>
      </c>
      <c r="AS108" s="611">
        <v>7.46</v>
      </c>
      <c r="AT108" s="614"/>
      <c r="AU108" s="614">
        <v>2.66</v>
      </c>
      <c r="AV108" s="614">
        <v>14.87</v>
      </c>
      <c r="AW108" s="614"/>
      <c r="AX108" s="614">
        <v>2.23</v>
      </c>
      <c r="AY108" s="616"/>
      <c r="AZ108" s="615">
        <v>1597.9</v>
      </c>
      <c r="BA108" s="615"/>
      <c r="BB108" s="608">
        <v>676.9</v>
      </c>
      <c r="BC108" s="611">
        <v>9.73</v>
      </c>
      <c r="BD108" s="611"/>
      <c r="BE108" s="611">
        <v>1.51</v>
      </c>
      <c r="BF108" s="611">
        <v>5.22</v>
      </c>
      <c r="BG108" s="614"/>
      <c r="BH108" s="614">
        <v>1.76</v>
      </c>
      <c r="BI108" s="614">
        <v>13.63</v>
      </c>
      <c r="BJ108" s="614"/>
      <c r="BK108" s="620">
        <v>3.86</v>
      </c>
    </row>
    <row r="109" spans="1:63" x14ac:dyDescent="0.2">
      <c r="A109" s="224">
        <v>988.16</v>
      </c>
      <c r="B109" s="607" t="s">
        <v>602</v>
      </c>
      <c r="C109" s="608">
        <v>1097</v>
      </c>
      <c r="D109" s="609"/>
      <c r="E109" s="610">
        <v>576</v>
      </c>
      <c r="F109" s="610">
        <v>1618</v>
      </c>
      <c r="G109" s="611">
        <v>19.25</v>
      </c>
      <c r="H109" s="612"/>
      <c r="I109" s="613">
        <v>12.8</v>
      </c>
      <c r="J109" s="613">
        <v>25.7</v>
      </c>
      <c r="K109" s="614">
        <v>14.65</v>
      </c>
      <c r="L109" s="612"/>
      <c r="M109" s="612">
        <v>6.3</v>
      </c>
      <c r="N109" s="612">
        <v>23</v>
      </c>
      <c r="O109" s="614">
        <v>23.6</v>
      </c>
      <c r="P109" s="612"/>
      <c r="Q109" s="615">
        <v>19.3</v>
      </c>
      <c r="R109" s="612">
        <v>27.9</v>
      </c>
      <c r="S109" s="616"/>
      <c r="T109" s="615">
        <v>1703.5</v>
      </c>
      <c r="U109" s="610"/>
      <c r="V109" s="610">
        <v>921</v>
      </c>
      <c r="W109" s="610">
        <v>2486</v>
      </c>
      <c r="X109" s="611">
        <v>7.95</v>
      </c>
      <c r="Y109" s="612"/>
      <c r="Z109" s="613">
        <v>5.5</v>
      </c>
      <c r="AA109" s="613">
        <v>10.4</v>
      </c>
      <c r="AB109" s="614">
        <v>3.95</v>
      </c>
      <c r="AC109" s="612"/>
      <c r="AD109" s="612">
        <v>1</v>
      </c>
      <c r="AE109" s="612">
        <v>6.9</v>
      </c>
      <c r="AF109" s="614">
        <v>14.8</v>
      </c>
      <c r="AG109" s="614"/>
      <c r="AH109" s="612">
        <v>14.4</v>
      </c>
      <c r="AI109" s="617">
        <v>15.2</v>
      </c>
      <c r="AJ109" s="618"/>
      <c r="AK109" s="619">
        <v>988.16</v>
      </c>
      <c r="AL109" s="616"/>
      <c r="AM109" s="608">
        <v>1321.8</v>
      </c>
      <c r="AN109" s="608"/>
      <c r="AO109" s="608">
        <v>469.8</v>
      </c>
      <c r="AP109" s="611">
        <v>12.77</v>
      </c>
      <c r="AQ109" s="614"/>
      <c r="AR109" s="611">
        <v>0.6899999999999995</v>
      </c>
      <c r="AS109" s="611">
        <v>7.94</v>
      </c>
      <c r="AT109" s="614"/>
      <c r="AU109" s="614">
        <v>2.1800000000000002</v>
      </c>
      <c r="AV109" s="614">
        <v>17.59</v>
      </c>
      <c r="AW109" s="614"/>
      <c r="AX109" s="614">
        <v>-0.49000000000000199</v>
      </c>
      <c r="AY109" s="616"/>
      <c r="AZ109" s="615">
        <v>1753.75</v>
      </c>
      <c r="BA109" s="615"/>
      <c r="BB109" s="608">
        <v>832.75</v>
      </c>
      <c r="BC109" s="611">
        <v>8.16</v>
      </c>
      <c r="BD109" s="611"/>
      <c r="BE109" s="611">
        <v>2.87</v>
      </c>
      <c r="BF109" s="611">
        <v>3.875</v>
      </c>
      <c r="BG109" s="614"/>
      <c r="BH109" s="614">
        <v>3.085</v>
      </c>
      <c r="BI109" s="614">
        <v>15.43</v>
      </c>
      <c r="BJ109" s="614"/>
      <c r="BK109" s="620">
        <v>1.61</v>
      </c>
    </row>
    <row r="110" spans="1:63" x14ac:dyDescent="0.2">
      <c r="A110" s="224">
        <v>988.45500000000004</v>
      </c>
      <c r="B110" s="203"/>
      <c r="C110" s="204">
        <v>1220</v>
      </c>
      <c r="D110" s="212"/>
      <c r="E110" s="205">
        <v>576</v>
      </c>
      <c r="F110" s="205">
        <v>1864</v>
      </c>
      <c r="G110" s="258">
        <v>16.55</v>
      </c>
      <c r="H110" s="208"/>
      <c r="I110" s="260">
        <v>9.1999999999999993</v>
      </c>
      <c r="J110" s="260">
        <v>23.9</v>
      </c>
      <c r="K110" s="206">
        <v>11.5</v>
      </c>
      <c r="L110" s="207"/>
      <c r="M110" s="208">
        <v>3.6</v>
      </c>
      <c r="N110" s="208">
        <v>19.399999999999999</v>
      </c>
      <c r="O110" s="206">
        <v>22.1</v>
      </c>
      <c r="P110" s="207"/>
      <c r="Q110" s="209">
        <v>16.3</v>
      </c>
      <c r="R110" s="208">
        <v>27.9</v>
      </c>
      <c r="S110" s="45"/>
      <c r="T110" s="209">
        <v>1914</v>
      </c>
      <c r="U110" s="210"/>
      <c r="V110" s="210">
        <v>1007</v>
      </c>
      <c r="W110" s="210">
        <v>2821</v>
      </c>
      <c r="X110" s="206">
        <v>9</v>
      </c>
      <c r="Y110" s="208"/>
      <c r="Z110" s="207">
        <v>5.5</v>
      </c>
      <c r="AA110" s="207">
        <v>12.5</v>
      </c>
      <c r="AB110" s="206">
        <v>3.7</v>
      </c>
      <c r="AC110" s="207"/>
      <c r="AD110" s="208">
        <v>0.3</v>
      </c>
      <c r="AE110" s="208">
        <v>7.1</v>
      </c>
      <c r="AF110" s="206">
        <v>21.4</v>
      </c>
      <c r="AG110" s="211"/>
      <c r="AH110" s="207">
        <v>15.2</v>
      </c>
      <c r="AI110" s="225">
        <v>27.6</v>
      </c>
      <c r="AK110" s="252">
        <v>988.45500000000004</v>
      </c>
      <c r="AL110" s="45"/>
      <c r="AM110" s="204">
        <v>1362.6</v>
      </c>
      <c r="AN110" s="204"/>
      <c r="AO110" s="204">
        <v>823.6</v>
      </c>
      <c r="AP110" s="206">
        <v>16.190000000000001</v>
      </c>
      <c r="AQ110" s="211"/>
      <c r="AR110" s="206">
        <v>7.89</v>
      </c>
      <c r="AS110" s="206">
        <v>10.67</v>
      </c>
      <c r="AT110" s="206"/>
      <c r="AU110" s="206">
        <v>9.09</v>
      </c>
      <c r="AV110" s="206">
        <v>22.024999999999999</v>
      </c>
      <c r="AW110" s="206"/>
      <c r="AX110" s="206">
        <v>6.0350000000000001</v>
      </c>
      <c r="AY110" s="45"/>
      <c r="AZ110" s="240">
        <v>1983.4</v>
      </c>
      <c r="BA110" s="240"/>
      <c r="BB110" s="241">
        <v>993.6</v>
      </c>
      <c r="BC110" s="206">
        <v>10.14</v>
      </c>
      <c r="BD110" s="211"/>
      <c r="BE110" s="206">
        <v>5</v>
      </c>
      <c r="BF110" s="206">
        <v>5.27</v>
      </c>
      <c r="BG110" s="211"/>
      <c r="BH110" s="206">
        <v>5.03</v>
      </c>
      <c r="BI110" s="206">
        <v>21.04</v>
      </c>
      <c r="BJ110" s="211"/>
      <c r="BK110" s="253">
        <v>6.6</v>
      </c>
    </row>
    <row r="111" spans="1:63" x14ac:dyDescent="0.2">
      <c r="A111" s="224">
        <v>988.71</v>
      </c>
      <c r="B111" s="203"/>
      <c r="C111" s="204">
        <v>1097</v>
      </c>
      <c r="D111" s="212"/>
      <c r="E111" s="205">
        <v>576</v>
      </c>
      <c r="F111" s="205">
        <v>1618</v>
      </c>
      <c r="G111" s="258">
        <v>18.350000000000001</v>
      </c>
      <c r="H111" s="208"/>
      <c r="I111" s="260">
        <v>12.8</v>
      </c>
      <c r="J111" s="260">
        <v>23.9</v>
      </c>
      <c r="K111" s="206">
        <v>12.85</v>
      </c>
      <c r="L111" s="207"/>
      <c r="M111" s="208">
        <v>6.3</v>
      </c>
      <c r="N111" s="208">
        <v>19.399999999999999</v>
      </c>
      <c r="O111" s="206">
        <v>23.6</v>
      </c>
      <c r="P111" s="207"/>
      <c r="Q111" s="209">
        <v>19.3</v>
      </c>
      <c r="R111" s="208">
        <v>27.9</v>
      </c>
      <c r="S111" s="45"/>
      <c r="T111" s="209">
        <v>1603</v>
      </c>
      <c r="U111" s="210"/>
      <c r="V111" s="210">
        <v>1223</v>
      </c>
      <c r="W111" s="210">
        <v>1983</v>
      </c>
      <c r="X111" s="206">
        <v>10.1</v>
      </c>
      <c r="Y111" s="208"/>
      <c r="Z111" s="207">
        <v>9.8000000000000007</v>
      </c>
      <c r="AA111" s="207">
        <v>10.4</v>
      </c>
      <c r="AB111" s="206">
        <v>5.8</v>
      </c>
      <c r="AC111" s="207"/>
      <c r="AD111" s="208">
        <v>4.7</v>
      </c>
      <c r="AE111" s="208">
        <v>6.9</v>
      </c>
      <c r="AF111" s="206">
        <v>14.8</v>
      </c>
      <c r="AG111" s="211"/>
      <c r="AH111" s="207">
        <v>14.4</v>
      </c>
      <c r="AI111" s="225">
        <v>15.2</v>
      </c>
      <c r="AK111" s="252">
        <v>988.71</v>
      </c>
      <c r="AL111" s="45"/>
      <c r="AM111" s="204">
        <v>1244.75</v>
      </c>
      <c r="AN111" s="204"/>
      <c r="AO111" s="204">
        <v>496.25</v>
      </c>
      <c r="AP111" s="206">
        <v>14.074999999999999</v>
      </c>
      <c r="AQ111" s="211"/>
      <c r="AR111" s="206">
        <v>3.0750000000000002</v>
      </c>
      <c r="AS111" s="206">
        <v>9.0500000000000007</v>
      </c>
      <c r="AT111" s="206"/>
      <c r="AU111" s="206">
        <v>4.0999999999999996</v>
      </c>
      <c r="AV111" s="206">
        <v>19.475000000000001</v>
      </c>
      <c r="AW111" s="206"/>
      <c r="AX111" s="206">
        <v>1.675</v>
      </c>
      <c r="AY111" s="45"/>
      <c r="AZ111" s="240">
        <v>1663.3</v>
      </c>
      <c r="BA111" s="240"/>
      <c r="BB111" s="241">
        <v>621.5</v>
      </c>
      <c r="BC111" s="206">
        <v>8.93</v>
      </c>
      <c r="BD111" s="206"/>
      <c r="BE111" s="206">
        <v>1.71</v>
      </c>
      <c r="BF111" s="206">
        <v>4.93</v>
      </c>
      <c r="BG111" s="206"/>
      <c r="BH111" s="206">
        <v>1.97</v>
      </c>
      <c r="BI111" s="206">
        <v>14.76</v>
      </c>
      <c r="BJ111" s="206"/>
      <c r="BK111" s="253">
        <v>-0.24</v>
      </c>
    </row>
    <row r="112" spans="1:63" x14ac:dyDescent="0.2">
      <c r="A112" s="224">
        <v>988.91</v>
      </c>
      <c r="B112" s="203"/>
      <c r="C112" s="204">
        <v>1097</v>
      </c>
      <c r="D112" s="212"/>
      <c r="E112" s="205">
        <v>576</v>
      </c>
      <c r="F112" s="205">
        <v>1618</v>
      </c>
      <c r="G112" s="258">
        <v>19.25</v>
      </c>
      <c r="H112" s="208"/>
      <c r="I112" s="260">
        <v>12.8</v>
      </c>
      <c r="J112" s="260">
        <v>25.7</v>
      </c>
      <c r="K112" s="206">
        <v>14.65</v>
      </c>
      <c r="L112" s="207"/>
      <c r="M112" s="208">
        <v>6.3</v>
      </c>
      <c r="N112" s="208">
        <v>23</v>
      </c>
      <c r="O112" s="206">
        <v>23.6</v>
      </c>
      <c r="P112" s="207"/>
      <c r="Q112" s="209">
        <v>19.3</v>
      </c>
      <c r="R112" s="208">
        <v>27.9</v>
      </c>
      <c r="S112" s="45"/>
      <c r="T112" s="209">
        <v>1527.5</v>
      </c>
      <c r="U112" s="210"/>
      <c r="V112" s="210">
        <v>921</v>
      </c>
      <c r="W112" s="210">
        <v>2134</v>
      </c>
      <c r="X112" s="206">
        <v>10.45</v>
      </c>
      <c r="Y112" s="208"/>
      <c r="Z112" s="207">
        <v>10.4</v>
      </c>
      <c r="AA112" s="207">
        <v>10.5</v>
      </c>
      <c r="AB112" s="206">
        <v>6</v>
      </c>
      <c r="AC112" s="207"/>
      <c r="AD112" s="208">
        <v>5.0999999999999996</v>
      </c>
      <c r="AE112" s="208">
        <v>6.9</v>
      </c>
      <c r="AF112" s="206">
        <v>14.8</v>
      </c>
      <c r="AG112" s="211"/>
      <c r="AH112" s="207">
        <v>14.4</v>
      </c>
      <c r="AI112" s="225">
        <v>15.2</v>
      </c>
      <c r="AK112" s="252">
        <v>988.91</v>
      </c>
      <c r="AL112" s="45"/>
      <c r="AM112" s="204">
        <v>1303.7</v>
      </c>
      <c r="AN112" s="204"/>
      <c r="AO112" s="204">
        <v>520.70000000000005</v>
      </c>
      <c r="AP112" s="206">
        <v>14.2</v>
      </c>
      <c r="AQ112" s="211"/>
      <c r="AR112" s="206">
        <v>2.3199999999999998</v>
      </c>
      <c r="AS112" s="206">
        <v>9.58</v>
      </c>
      <c r="AT112" s="206"/>
      <c r="AU112" s="206">
        <v>3.76</v>
      </c>
      <c r="AV112" s="206">
        <v>18.329999999999998</v>
      </c>
      <c r="AW112" s="206"/>
      <c r="AX112" s="206">
        <v>1.47</v>
      </c>
      <c r="AY112" s="45"/>
      <c r="AZ112" s="240">
        <v>1597.9</v>
      </c>
      <c r="BA112" s="240"/>
      <c r="BB112" s="241">
        <v>676.9</v>
      </c>
      <c r="BC112" s="206">
        <v>9.8699999999999992</v>
      </c>
      <c r="BD112" s="211"/>
      <c r="BE112" s="206">
        <v>1.37</v>
      </c>
      <c r="BF112" s="206">
        <v>5.22</v>
      </c>
      <c r="BG112" s="211"/>
      <c r="BH112" s="206">
        <v>1.76</v>
      </c>
      <c r="BI112" s="206">
        <v>16.059999999999999</v>
      </c>
      <c r="BJ112" s="211"/>
      <c r="BK112" s="253">
        <v>2.2999999999999998</v>
      </c>
    </row>
    <row r="113" spans="1:63" x14ac:dyDescent="0.2">
      <c r="A113" s="224">
        <v>989.11</v>
      </c>
      <c r="B113" s="203"/>
      <c r="C113" s="204">
        <v>1100.5</v>
      </c>
      <c r="D113" s="204">
        <v>1100.5</v>
      </c>
      <c r="E113" s="205">
        <v>583</v>
      </c>
      <c r="F113" s="205">
        <v>1618</v>
      </c>
      <c r="G113" s="258">
        <v>19.350000000000001</v>
      </c>
      <c r="H113" s="208">
        <v>19.350000000000001</v>
      </c>
      <c r="I113" s="260">
        <v>14.8</v>
      </c>
      <c r="J113" s="260">
        <v>23.9</v>
      </c>
      <c r="K113" s="206">
        <v>13.95</v>
      </c>
      <c r="L113" s="208">
        <v>13.95</v>
      </c>
      <c r="M113" s="208">
        <v>8.5</v>
      </c>
      <c r="N113" s="208">
        <v>19.399999999999999</v>
      </c>
      <c r="O113" s="206">
        <v>23.6</v>
      </c>
      <c r="P113" s="208">
        <v>23.6</v>
      </c>
      <c r="Q113" s="209">
        <v>19.3</v>
      </c>
      <c r="R113" s="208">
        <v>27.9</v>
      </c>
      <c r="S113" s="45"/>
      <c r="T113" s="209">
        <v>1603</v>
      </c>
      <c r="U113" s="209">
        <v>1603</v>
      </c>
      <c r="V113" s="210">
        <v>1223</v>
      </c>
      <c r="W113" s="210">
        <v>1983</v>
      </c>
      <c r="X113" s="206">
        <v>10.45</v>
      </c>
      <c r="Y113" s="208">
        <v>10.45</v>
      </c>
      <c r="Z113" s="207">
        <v>10.4</v>
      </c>
      <c r="AA113" s="207">
        <v>10.5</v>
      </c>
      <c r="AB113" s="206">
        <v>6</v>
      </c>
      <c r="AC113" s="207">
        <v>6</v>
      </c>
      <c r="AD113" s="208">
        <v>5.0999999999999996</v>
      </c>
      <c r="AE113" s="208">
        <v>6.9</v>
      </c>
      <c r="AF113" s="206">
        <v>14.8</v>
      </c>
      <c r="AG113" s="211">
        <v>14.8</v>
      </c>
      <c r="AH113" s="207">
        <v>14.4</v>
      </c>
      <c r="AI113" s="225">
        <v>15.2</v>
      </c>
      <c r="AK113" s="252">
        <v>989.11</v>
      </c>
      <c r="AL113" s="45"/>
      <c r="AM113" s="204">
        <v>1237.3</v>
      </c>
      <c r="AN113" s="204">
        <v>1237.3</v>
      </c>
      <c r="AO113" s="204">
        <v>552.9</v>
      </c>
      <c r="AP113" s="206">
        <v>16.66</v>
      </c>
      <c r="AQ113" s="211">
        <v>16.66</v>
      </c>
      <c r="AR113" s="206">
        <v>3.19</v>
      </c>
      <c r="AS113" s="206">
        <v>11.55</v>
      </c>
      <c r="AT113" s="206">
        <v>11.55</v>
      </c>
      <c r="AU113" s="206">
        <v>4.0999999999999996</v>
      </c>
      <c r="AV113" s="206">
        <v>21.4</v>
      </c>
      <c r="AW113" s="206">
        <v>21.4</v>
      </c>
      <c r="AX113" s="206">
        <v>2.4500000000000002</v>
      </c>
      <c r="AY113" s="45"/>
      <c r="AZ113" s="240">
        <v>1573.75</v>
      </c>
      <c r="BA113" s="240">
        <v>1573.75</v>
      </c>
      <c r="BB113" s="241">
        <v>545.15</v>
      </c>
      <c r="BC113" s="206">
        <v>10.315</v>
      </c>
      <c r="BD113" s="211">
        <v>10.315</v>
      </c>
      <c r="BE113" s="206">
        <v>0.44500000000000001</v>
      </c>
      <c r="BF113" s="206">
        <v>5.82</v>
      </c>
      <c r="BG113" s="211">
        <v>5.82</v>
      </c>
      <c r="BH113" s="206">
        <v>1.08</v>
      </c>
      <c r="BI113" s="206">
        <v>14.73</v>
      </c>
      <c r="BJ113" s="211">
        <v>14.73</v>
      </c>
      <c r="BK113" s="253">
        <v>-0.11999999999999922</v>
      </c>
    </row>
    <row r="114" spans="1:63" x14ac:dyDescent="0.2">
      <c r="A114" s="224">
        <v>989.31</v>
      </c>
      <c r="B114" s="203"/>
      <c r="C114" s="204">
        <v>2831</v>
      </c>
      <c r="D114" s="212"/>
      <c r="E114" s="205">
        <v>576</v>
      </c>
      <c r="F114" s="205">
        <v>5086</v>
      </c>
      <c r="G114" s="258">
        <v>17.45</v>
      </c>
      <c r="H114" s="208"/>
      <c r="I114" s="260">
        <v>9.1999999999999993</v>
      </c>
      <c r="J114" s="260">
        <v>25.7</v>
      </c>
      <c r="K114" s="206">
        <v>13.3</v>
      </c>
      <c r="L114" s="207"/>
      <c r="M114" s="208">
        <v>3.6</v>
      </c>
      <c r="N114" s="208">
        <v>23</v>
      </c>
      <c r="O114" s="206">
        <v>20.55</v>
      </c>
      <c r="P114" s="207"/>
      <c r="Q114" s="209">
        <v>13.2</v>
      </c>
      <c r="R114" s="208">
        <v>27.9</v>
      </c>
      <c r="S114" s="45"/>
      <c r="T114" s="209">
        <v>1495</v>
      </c>
      <c r="U114" s="209">
        <v>1495</v>
      </c>
      <c r="V114" s="210">
        <v>1007</v>
      </c>
      <c r="W114" s="210">
        <v>1983</v>
      </c>
      <c r="X114" s="206">
        <v>10.1</v>
      </c>
      <c r="Y114" s="206">
        <v>10.1</v>
      </c>
      <c r="Z114" s="207">
        <v>9.8000000000000007</v>
      </c>
      <c r="AA114" s="207">
        <v>10.4</v>
      </c>
      <c r="AB114" s="206">
        <v>5.8</v>
      </c>
      <c r="AC114" s="206">
        <v>5.8</v>
      </c>
      <c r="AD114" s="208">
        <v>4.7</v>
      </c>
      <c r="AE114" s="208">
        <v>6.9</v>
      </c>
      <c r="AF114" s="206">
        <v>14.8</v>
      </c>
      <c r="AG114" s="211">
        <v>14.8</v>
      </c>
      <c r="AH114" s="207">
        <v>14.4</v>
      </c>
      <c r="AI114" s="225">
        <v>15.2</v>
      </c>
      <c r="AK114" s="252">
        <v>989.31</v>
      </c>
      <c r="AL114" s="45"/>
      <c r="AM114" s="204">
        <v>1929</v>
      </c>
      <c r="AN114" s="204"/>
      <c r="AO114" s="204">
        <v>1077</v>
      </c>
      <c r="AP114" s="206">
        <v>11.33</v>
      </c>
      <c r="AQ114" s="211"/>
      <c r="AR114" s="206">
        <v>2.13</v>
      </c>
      <c r="AS114" s="206">
        <v>6.86</v>
      </c>
      <c r="AT114" s="206"/>
      <c r="AU114" s="206">
        <v>3.26</v>
      </c>
      <c r="AV114" s="206">
        <v>15.15</v>
      </c>
      <c r="AW114" s="206"/>
      <c r="AX114" s="206">
        <v>1.95</v>
      </c>
      <c r="AY114" s="45"/>
      <c r="AZ114" s="240">
        <v>1620.1</v>
      </c>
      <c r="BA114" s="240">
        <v>1620.1</v>
      </c>
      <c r="BB114" s="241">
        <v>664.7</v>
      </c>
      <c r="BC114" s="206">
        <v>9.44</v>
      </c>
      <c r="BD114" s="211">
        <v>9.44</v>
      </c>
      <c r="BE114" s="206">
        <v>2.2200000000000002</v>
      </c>
      <c r="BF114" s="206">
        <v>4.75</v>
      </c>
      <c r="BG114" s="211">
        <v>4.75</v>
      </c>
      <c r="BH114" s="206">
        <v>2.27</v>
      </c>
      <c r="BI114" s="206">
        <v>17.34</v>
      </c>
      <c r="BJ114" s="211">
        <v>17.34</v>
      </c>
      <c r="BK114" s="253">
        <v>2.34</v>
      </c>
    </row>
    <row r="115" spans="1:63" x14ac:dyDescent="0.2">
      <c r="A115" s="224">
        <v>989.51</v>
      </c>
      <c r="B115" s="203"/>
      <c r="C115" s="204">
        <v>1501.5</v>
      </c>
      <c r="D115" s="212"/>
      <c r="E115" s="205">
        <v>1139</v>
      </c>
      <c r="F115" s="205">
        <v>1864</v>
      </c>
      <c r="G115" s="258">
        <v>18.399999999999999</v>
      </c>
      <c r="H115" s="208"/>
      <c r="I115" s="260">
        <v>12.9</v>
      </c>
      <c r="J115" s="260">
        <v>23.9</v>
      </c>
      <c r="K115" s="206">
        <v>13.2</v>
      </c>
      <c r="L115" s="207"/>
      <c r="M115" s="208">
        <v>7</v>
      </c>
      <c r="N115" s="208">
        <v>19.399999999999999</v>
      </c>
      <c r="O115" s="206">
        <v>23.5</v>
      </c>
      <c r="P115" s="207"/>
      <c r="Q115" s="209">
        <v>19.8</v>
      </c>
      <c r="R115" s="208">
        <v>27.2</v>
      </c>
      <c r="S115" s="45"/>
      <c r="T115" s="209">
        <v>1452</v>
      </c>
      <c r="U115" s="210"/>
      <c r="V115" s="210">
        <v>921</v>
      </c>
      <c r="W115" s="210">
        <v>1983</v>
      </c>
      <c r="X115" s="206">
        <v>11.15</v>
      </c>
      <c r="Y115" s="208"/>
      <c r="Z115" s="207">
        <v>9.8000000000000007</v>
      </c>
      <c r="AA115" s="207">
        <v>12.5</v>
      </c>
      <c r="AB115" s="206">
        <v>5.9</v>
      </c>
      <c r="AC115" s="207"/>
      <c r="AD115" s="208">
        <v>4.7</v>
      </c>
      <c r="AE115" s="208">
        <v>7.1</v>
      </c>
      <c r="AF115" s="206">
        <v>19.95</v>
      </c>
      <c r="AG115" s="211"/>
      <c r="AH115" s="207">
        <v>15.2</v>
      </c>
      <c r="AI115" s="225">
        <v>24.7</v>
      </c>
      <c r="AK115" s="252">
        <v>989.51</v>
      </c>
      <c r="AL115" s="45"/>
      <c r="AM115" s="204">
        <v>1820.5</v>
      </c>
      <c r="AN115" s="204"/>
      <c r="AO115" s="204">
        <v>903.9</v>
      </c>
      <c r="AP115" s="206">
        <v>18.04</v>
      </c>
      <c r="AQ115" s="211"/>
      <c r="AR115" s="206">
        <v>6.14</v>
      </c>
      <c r="AS115" s="206">
        <v>13.6</v>
      </c>
      <c r="AT115" s="206"/>
      <c r="AU115" s="206">
        <v>6.6</v>
      </c>
      <c r="AV115" s="206">
        <v>23.18</v>
      </c>
      <c r="AW115" s="206"/>
      <c r="AX115" s="206">
        <v>4.3</v>
      </c>
      <c r="AY115" s="45"/>
      <c r="AZ115" s="240">
        <v>1661.5</v>
      </c>
      <c r="BA115" s="240"/>
      <c r="BB115" s="241">
        <v>740.5</v>
      </c>
      <c r="BC115" s="206">
        <v>10.074999999999999</v>
      </c>
      <c r="BD115" s="211"/>
      <c r="BE115" s="206">
        <v>2.4249999999999998</v>
      </c>
      <c r="BF115" s="206">
        <v>4.9749999999999996</v>
      </c>
      <c r="BG115" s="211"/>
      <c r="BH115" s="206">
        <v>2.125</v>
      </c>
      <c r="BI115" s="206">
        <v>20.309999999999999</v>
      </c>
      <c r="BJ115" s="211"/>
      <c r="BK115" s="253">
        <v>5.26</v>
      </c>
    </row>
    <row r="116" spans="1:63" x14ac:dyDescent="0.2">
      <c r="A116" s="224">
        <v>989.71</v>
      </c>
      <c r="B116" s="203"/>
      <c r="C116" s="204">
        <v>1501.5</v>
      </c>
      <c r="D116" s="204">
        <v>1501.5</v>
      </c>
      <c r="E116" s="205">
        <v>1139</v>
      </c>
      <c r="F116" s="205">
        <v>1864</v>
      </c>
      <c r="G116" s="258">
        <v>21.05</v>
      </c>
      <c r="H116" s="206">
        <v>21.05</v>
      </c>
      <c r="I116" s="260">
        <v>18.2</v>
      </c>
      <c r="J116" s="260">
        <v>23.9</v>
      </c>
      <c r="K116" s="206">
        <v>16.149999999999999</v>
      </c>
      <c r="L116" s="206">
        <v>16.149999999999999</v>
      </c>
      <c r="M116" s="208">
        <v>12.9</v>
      </c>
      <c r="N116" s="208">
        <v>19.399999999999999</v>
      </c>
      <c r="O116" s="206">
        <v>25.05</v>
      </c>
      <c r="P116" s="208">
        <v>23.5</v>
      </c>
      <c r="Q116" s="209">
        <v>22.9</v>
      </c>
      <c r="R116" s="208">
        <v>27.2</v>
      </c>
      <c r="S116" s="45"/>
      <c r="T116" s="209">
        <v>1527.5</v>
      </c>
      <c r="U116" s="209">
        <v>1527.5</v>
      </c>
      <c r="V116" s="210">
        <v>921</v>
      </c>
      <c r="W116" s="210">
        <v>2134</v>
      </c>
      <c r="X116" s="206">
        <v>10.45</v>
      </c>
      <c r="Y116" s="208">
        <v>10.45</v>
      </c>
      <c r="Z116" s="207">
        <v>10.4</v>
      </c>
      <c r="AA116" s="207">
        <v>10.5</v>
      </c>
      <c r="AB116" s="206">
        <v>6</v>
      </c>
      <c r="AC116" s="207">
        <v>6</v>
      </c>
      <c r="AD116" s="208">
        <v>5.0999999999999996</v>
      </c>
      <c r="AE116" s="208">
        <v>6.9</v>
      </c>
      <c r="AF116" s="206">
        <v>14.8</v>
      </c>
      <c r="AG116" s="206">
        <v>14.8</v>
      </c>
      <c r="AH116" s="207">
        <v>14.4</v>
      </c>
      <c r="AI116" s="225">
        <v>15.2</v>
      </c>
      <c r="AK116" s="252">
        <v>989.71</v>
      </c>
      <c r="AL116" s="45"/>
      <c r="AM116" s="204">
        <v>1514.5</v>
      </c>
      <c r="AN116" s="204">
        <v>1514.5</v>
      </c>
      <c r="AO116" s="204">
        <v>484.5</v>
      </c>
      <c r="AP116" s="206">
        <v>17.135000000000002</v>
      </c>
      <c r="AQ116" s="206">
        <v>17.135000000000002</v>
      </c>
      <c r="AR116" s="206">
        <v>2.7149999999999999</v>
      </c>
      <c r="AS116" s="206">
        <v>12.21</v>
      </c>
      <c r="AT116" s="206">
        <v>12.21</v>
      </c>
      <c r="AU116" s="206">
        <v>3.44</v>
      </c>
      <c r="AV116" s="206">
        <v>22.045000000000002</v>
      </c>
      <c r="AW116" s="206">
        <v>22.045000000000002</v>
      </c>
      <c r="AX116" s="206">
        <v>1.3149999999999999</v>
      </c>
      <c r="AY116" s="45"/>
      <c r="AZ116" s="240">
        <v>1615.5</v>
      </c>
      <c r="BA116" s="240">
        <v>1615.5</v>
      </c>
      <c r="BB116" s="241">
        <v>694.5</v>
      </c>
      <c r="BC116" s="206">
        <v>8.84</v>
      </c>
      <c r="BD116" s="206">
        <v>8.84</v>
      </c>
      <c r="BE116" s="206">
        <v>1.84</v>
      </c>
      <c r="BF116" s="206">
        <v>4.8449999999999998</v>
      </c>
      <c r="BG116" s="206">
        <v>4.8449999999999998</v>
      </c>
      <c r="BH116" s="206">
        <v>2.0550000000000002</v>
      </c>
      <c r="BI116" s="206">
        <v>13.675000000000001</v>
      </c>
      <c r="BJ116" s="206">
        <v>13.675000000000001</v>
      </c>
      <c r="BK116" s="253">
        <v>0.875</v>
      </c>
    </row>
    <row r="117" spans="1:63" x14ac:dyDescent="0.2">
      <c r="A117" s="224">
        <v>990.12</v>
      </c>
      <c r="B117" s="203"/>
      <c r="C117" s="204">
        <v>1358.5</v>
      </c>
      <c r="D117" s="212"/>
      <c r="E117" s="205">
        <v>583</v>
      </c>
      <c r="F117" s="205">
        <v>2134</v>
      </c>
      <c r="G117" s="258">
        <v>19.3</v>
      </c>
      <c r="H117" s="208"/>
      <c r="I117" s="260">
        <v>12.9</v>
      </c>
      <c r="J117" s="260">
        <v>25.7</v>
      </c>
      <c r="K117" s="206">
        <v>15</v>
      </c>
      <c r="L117" s="207"/>
      <c r="M117" s="208">
        <v>7</v>
      </c>
      <c r="N117" s="208">
        <v>23</v>
      </c>
      <c r="O117" s="206">
        <v>22.7</v>
      </c>
      <c r="P117" s="207"/>
      <c r="Q117" s="209">
        <v>17.5</v>
      </c>
      <c r="R117" s="208">
        <v>27.9</v>
      </c>
      <c r="S117" s="45"/>
      <c r="T117" s="209">
        <v>1678.5</v>
      </c>
      <c r="U117" s="210"/>
      <c r="V117" s="210">
        <v>1223</v>
      </c>
      <c r="W117" s="210">
        <v>2134</v>
      </c>
      <c r="X117" s="206">
        <v>10.45</v>
      </c>
      <c r="Y117" s="208"/>
      <c r="Z117" s="207">
        <v>10.4</v>
      </c>
      <c r="AA117" s="207">
        <v>10.5</v>
      </c>
      <c r="AB117" s="206">
        <v>6</v>
      </c>
      <c r="AC117" s="207"/>
      <c r="AD117" s="208">
        <v>5.0999999999999996</v>
      </c>
      <c r="AE117" s="208">
        <v>6.9</v>
      </c>
      <c r="AF117" s="206">
        <v>14.8</v>
      </c>
      <c r="AG117" s="211"/>
      <c r="AH117" s="207">
        <v>14.4</v>
      </c>
      <c r="AI117" s="225">
        <v>15.2</v>
      </c>
      <c r="AK117" s="252">
        <v>990.12</v>
      </c>
      <c r="AL117" s="45"/>
      <c r="AM117" s="204">
        <v>1530.3</v>
      </c>
      <c r="AN117" s="204"/>
      <c r="AO117" s="204">
        <v>744.5</v>
      </c>
      <c r="AP117" s="206">
        <v>14.23</v>
      </c>
      <c r="AQ117" s="211"/>
      <c r="AR117" s="206">
        <v>2.29</v>
      </c>
      <c r="AS117" s="206">
        <v>9.7899999999999991</v>
      </c>
      <c r="AT117" s="206"/>
      <c r="AU117" s="206">
        <v>3.55</v>
      </c>
      <c r="AV117" s="206">
        <v>17.79</v>
      </c>
      <c r="AW117" s="206"/>
      <c r="AX117" s="206">
        <v>2.0099999999999998</v>
      </c>
      <c r="AY117" s="45"/>
      <c r="AZ117" s="240">
        <v>1693.5</v>
      </c>
      <c r="BA117" s="240"/>
      <c r="BB117" s="241">
        <v>651.70000000000005</v>
      </c>
      <c r="BC117" s="206">
        <v>9.07</v>
      </c>
      <c r="BD117" s="211"/>
      <c r="BE117" s="206">
        <v>1.57</v>
      </c>
      <c r="BF117" s="206">
        <v>5.01</v>
      </c>
      <c r="BG117" s="211"/>
      <c r="BH117" s="206">
        <v>1.89</v>
      </c>
      <c r="BI117" s="206">
        <v>13.9</v>
      </c>
      <c r="BJ117" s="211"/>
      <c r="BK117" s="253">
        <v>0.62000000000000099</v>
      </c>
    </row>
    <row r="118" spans="1:63" x14ac:dyDescent="0.2">
      <c r="A118" s="224">
        <v>990.32</v>
      </c>
      <c r="B118" s="203"/>
      <c r="C118" s="204">
        <v>2831</v>
      </c>
      <c r="D118" s="212"/>
      <c r="E118" s="205">
        <v>576</v>
      </c>
      <c r="F118" s="205">
        <v>5086</v>
      </c>
      <c r="G118" s="258">
        <v>17.45</v>
      </c>
      <c r="H118" s="208"/>
      <c r="I118" s="260">
        <v>9.1999999999999993</v>
      </c>
      <c r="J118" s="260">
        <v>25.7</v>
      </c>
      <c r="K118" s="206">
        <v>13.3</v>
      </c>
      <c r="L118" s="207"/>
      <c r="M118" s="208">
        <v>3.6</v>
      </c>
      <c r="N118" s="208">
        <v>23</v>
      </c>
      <c r="O118" s="206">
        <v>20.55</v>
      </c>
      <c r="P118" s="207"/>
      <c r="Q118" s="209">
        <v>13.2</v>
      </c>
      <c r="R118" s="208">
        <v>27.9</v>
      </c>
      <c r="S118" s="45"/>
      <c r="T118" s="209">
        <v>1871</v>
      </c>
      <c r="U118" s="210"/>
      <c r="V118" s="210">
        <v>921</v>
      </c>
      <c r="W118" s="210">
        <v>2821</v>
      </c>
      <c r="X118" s="206">
        <v>8.65</v>
      </c>
      <c r="Y118" s="208"/>
      <c r="Z118" s="207">
        <v>4.8</v>
      </c>
      <c r="AA118" s="207">
        <v>12.5</v>
      </c>
      <c r="AB118" s="206">
        <v>4.05</v>
      </c>
      <c r="AC118" s="207"/>
      <c r="AD118" s="208">
        <v>1</v>
      </c>
      <c r="AE118" s="208">
        <v>7.1</v>
      </c>
      <c r="AF118" s="206">
        <v>19.350000000000001</v>
      </c>
      <c r="AG118" s="211"/>
      <c r="AH118" s="207">
        <v>8.3000000000000007</v>
      </c>
      <c r="AI118" s="225">
        <v>30.4</v>
      </c>
      <c r="AK118" s="252">
        <v>990.32</v>
      </c>
      <c r="AL118" s="45"/>
      <c r="AM118" s="204">
        <v>1929</v>
      </c>
      <c r="AN118" s="204"/>
      <c r="AO118" s="204">
        <v>1077</v>
      </c>
      <c r="AP118" s="206">
        <v>17.45</v>
      </c>
      <c r="AQ118" s="211"/>
      <c r="AR118" s="206">
        <v>8.25</v>
      </c>
      <c r="AS118" s="206">
        <v>13.3</v>
      </c>
      <c r="AT118" s="206"/>
      <c r="AU118" s="206">
        <v>9.6999999999999993</v>
      </c>
      <c r="AV118" s="206">
        <v>20.55</v>
      </c>
      <c r="AW118" s="206"/>
      <c r="AX118" s="206">
        <v>7.35</v>
      </c>
      <c r="AY118" s="45"/>
      <c r="AZ118" s="240">
        <v>1995.1</v>
      </c>
      <c r="BA118" s="240"/>
      <c r="BB118" s="241">
        <v>1109.7</v>
      </c>
      <c r="BC118" s="206">
        <v>9.3049999999999997</v>
      </c>
      <c r="BD118" s="211"/>
      <c r="BE118" s="206">
        <v>4.6349999999999998</v>
      </c>
      <c r="BF118" s="206">
        <v>4.9000000000000004</v>
      </c>
      <c r="BG118" s="211"/>
      <c r="BH118" s="206">
        <v>3.97</v>
      </c>
      <c r="BI118" s="206">
        <v>19.350000000000001</v>
      </c>
      <c r="BJ118" s="211"/>
      <c r="BK118" s="253">
        <v>11.05</v>
      </c>
    </row>
    <row r="119" spans="1:63" x14ac:dyDescent="0.2">
      <c r="A119" s="224">
        <v>990.52</v>
      </c>
      <c r="B119" s="203"/>
      <c r="C119" s="204">
        <v>1378.5</v>
      </c>
      <c r="D119" s="212"/>
      <c r="E119" s="205">
        <v>1139</v>
      </c>
      <c r="F119" s="205">
        <v>1618</v>
      </c>
      <c r="G119" s="258">
        <v>18.7</v>
      </c>
      <c r="H119" s="208"/>
      <c r="I119" s="260">
        <v>12.8</v>
      </c>
      <c r="J119" s="260">
        <v>24.6</v>
      </c>
      <c r="K119" s="206">
        <v>14.2</v>
      </c>
      <c r="L119" s="207"/>
      <c r="M119" s="208">
        <v>7</v>
      </c>
      <c r="N119" s="208">
        <v>21.4</v>
      </c>
      <c r="O119" s="206">
        <v>23.5</v>
      </c>
      <c r="P119" s="207"/>
      <c r="Q119" s="209">
        <v>19.8</v>
      </c>
      <c r="R119" s="208">
        <v>27.2</v>
      </c>
      <c r="S119" s="45"/>
      <c r="T119" s="209">
        <v>1603</v>
      </c>
      <c r="U119" s="210"/>
      <c r="V119" s="210">
        <v>1223</v>
      </c>
      <c r="W119" s="210">
        <v>1983</v>
      </c>
      <c r="X119" s="206">
        <v>10.45</v>
      </c>
      <c r="Y119" s="208"/>
      <c r="Z119" s="207">
        <v>10.4</v>
      </c>
      <c r="AA119" s="207">
        <v>10.5</v>
      </c>
      <c r="AB119" s="206">
        <v>6</v>
      </c>
      <c r="AC119" s="207"/>
      <c r="AD119" s="208">
        <v>5.0999999999999996</v>
      </c>
      <c r="AE119" s="208">
        <v>6.9</v>
      </c>
      <c r="AF119" s="206">
        <v>14.8</v>
      </c>
      <c r="AG119" s="211"/>
      <c r="AH119" s="207">
        <v>14.4</v>
      </c>
      <c r="AI119" s="225">
        <v>15.2</v>
      </c>
      <c r="AK119" s="252">
        <v>990.52</v>
      </c>
      <c r="AL119" s="45"/>
      <c r="AM119" s="204">
        <v>1453</v>
      </c>
      <c r="AN119" s="204"/>
      <c r="AO119" s="204">
        <v>423</v>
      </c>
      <c r="AP119" s="206">
        <v>14.574999999999999</v>
      </c>
      <c r="AQ119" s="211"/>
      <c r="AR119" s="206">
        <v>2.9249999999999998</v>
      </c>
      <c r="AS119" s="206">
        <v>10.4</v>
      </c>
      <c r="AT119" s="206"/>
      <c r="AU119" s="206">
        <v>3.75</v>
      </c>
      <c r="AV119" s="206">
        <v>20.175000000000001</v>
      </c>
      <c r="AW119" s="206"/>
      <c r="AX119" s="206">
        <v>0.625</v>
      </c>
      <c r="AY119" s="45"/>
      <c r="AZ119" s="240">
        <v>1550.15</v>
      </c>
      <c r="BA119" s="240"/>
      <c r="BB119" s="241">
        <v>538.54999999999995</v>
      </c>
      <c r="BC119" s="206">
        <v>10.345000000000001</v>
      </c>
      <c r="BD119" s="211"/>
      <c r="BE119" s="206">
        <v>0.33500000000000085</v>
      </c>
      <c r="BF119" s="206">
        <v>5.86</v>
      </c>
      <c r="BG119" s="211"/>
      <c r="BH119" s="206">
        <v>1.04</v>
      </c>
      <c r="BI119" s="206">
        <v>14.75</v>
      </c>
      <c r="BJ119" s="211"/>
      <c r="BK119" s="253">
        <v>-0.19999999999999929</v>
      </c>
    </row>
    <row r="120" spans="1:63" x14ac:dyDescent="0.2">
      <c r="A120" s="224">
        <v>990.81</v>
      </c>
      <c r="B120" s="203"/>
      <c r="C120" s="204">
        <v>2831</v>
      </c>
      <c r="D120" s="212"/>
      <c r="E120" s="205">
        <v>576</v>
      </c>
      <c r="F120" s="205">
        <v>5086</v>
      </c>
      <c r="G120" s="258">
        <v>17.45</v>
      </c>
      <c r="H120" s="208"/>
      <c r="I120" s="260">
        <v>9.1999999999999993</v>
      </c>
      <c r="J120" s="260">
        <v>25.7</v>
      </c>
      <c r="K120" s="206">
        <v>13.3</v>
      </c>
      <c r="L120" s="207"/>
      <c r="M120" s="208">
        <v>3.6</v>
      </c>
      <c r="N120" s="208">
        <v>23</v>
      </c>
      <c r="O120" s="206">
        <v>20.55</v>
      </c>
      <c r="P120" s="207"/>
      <c r="Q120" s="209">
        <v>13.2</v>
      </c>
      <c r="R120" s="208">
        <v>27.9</v>
      </c>
      <c r="S120" s="45"/>
      <c r="T120" s="209">
        <v>3112</v>
      </c>
      <c r="U120" s="210"/>
      <c r="V120" s="210">
        <v>565</v>
      </c>
      <c r="W120" s="210">
        <v>5659</v>
      </c>
      <c r="X120" s="206">
        <v>15.6</v>
      </c>
      <c r="Y120" s="208"/>
      <c r="Z120" s="207">
        <v>5.5</v>
      </c>
      <c r="AA120" s="207">
        <v>25.7</v>
      </c>
      <c r="AB120" s="206">
        <v>12.3</v>
      </c>
      <c r="AC120" s="207"/>
      <c r="AD120" s="208">
        <v>1</v>
      </c>
      <c r="AE120" s="208">
        <v>23.6</v>
      </c>
      <c r="AF120" s="206">
        <v>21.4</v>
      </c>
      <c r="AG120" s="211"/>
      <c r="AH120" s="207">
        <v>15.2</v>
      </c>
      <c r="AI120" s="225">
        <v>27.6</v>
      </c>
      <c r="AK120" s="252">
        <v>990.81</v>
      </c>
      <c r="AL120" s="45"/>
      <c r="AM120" s="204">
        <v>2831</v>
      </c>
      <c r="AN120" s="204"/>
      <c r="AO120" s="204">
        <v>2255</v>
      </c>
      <c r="AP120" s="206">
        <v>17.45</v>
      </c>
      <c r="AQ120" s="211"/>
      <c r="AR120" s="206">
        <v>8.25</v>
      </c>
      <c r="AS120" s="206">
        <v>13.3</v>
      </c>
      <c r="AT120" s="206"/>
      <c r="AU120" s="206">
        <v>9.6999999999999993</v>
      </c>
      <c r="AV120" s="206">
        <v>20.55</v>
      </c>
      <c r="AW120" s="206"/>
      <c r="AX120" s="206">
        <v>7.35</v>
      </c>
      <c r="AY120" s="45"/>
      <c r="AZ120" s="240">
        <v>3175.75</v>
      </c>
      <c r="BA120" s="240"/>
      <c r="BB120" s="241">
        <v>2619.85</v>
      </c>
      <c r="BC120" s="206">
        <v>15.625</v>
      </c>
      <c r="BD120" s="211"/>
      <c r="BE120" s="206">
        <v>10.195</v>
      </c>
      <c r="BF120" s="206">
        <v>12.31</v>
      </c>
      <c r="BG120" s="211"/>
      <c r="BH120" s="206">
        <v>11.41</v>
      </c>
      <c r="BI120" s="206">
        <v>21.195</v>
      </c>
      <c r="BJ120" s="211"/>
      <c r="BK120" s="253">
        <v>6.6849999999999996</v>
      </c>
    </row>
    <row r="121" spans="1:63" x14ac:dyDescent="0.2">
      <c r="A121" s="224">
        <v>991.11500000000001</v>
      </c>
      <c r="B121" s="203"/>
      <c r="C121" s="204">
        <v>1501.5</v>
      </c>
      <c r="D121" s="204">
        <v>1501.5</v>
      </c>
      <c r="E121" s="205">
        <v>1139</v>
      </c>
      <c r="F121" s="205">
        <v>1864</v>
      </c>
      <c r="G121" s="258">
        <v>18</v>
      </c>
      <c r="H121" s="206">
        <v>18</v>
      </c>
      <c r="I121" s="260">
        <v>14.8</v>
      </c>
      <c r="J121" s="260">
        <v>21.2</v>
      </c>
      <c r="K121" s="206">
        <v>12.45</v>
      </c>
      <c r="L121" s="206">
        <v>12.45</v>
      </c>
      <c r="M121" s="208">
        <v>8.5</v>
      </c>
      <c r="N121" s="208">
        <v>16.399999999999999</v>
      </c>
      <c r="O121" s="206">
        <v>23.5</v>
      </c>
      <c r="P121" s="208">
        <v>23.5</v>
      </c>
      <c r="Q121" s="209">
        <v>19.8</v>
      </c>
      <c r="R121" s="208">
        <v>27.2</v>
      </c>
      <c r="S121" s="45"/>
      <c r="T121" s="209">
        <v>1914</v>
      </c>
      <c r="U121" s="209">
        <v>1914</v>
      </c>
      <c r="V121" s="210">
        <v>1007</v>
      </c>
      <c r="W121" s="210">
        <v>2821</v>
      </c>
      <c r="X121" s="206">
        <v>9</v>
      </c>
      <c r="Y121" s="208">
        <v>9</v>
      </c>
      <c r="Z121" s="207">
        <v>5.5</v>
      </c>
      <c r="AA121" s="207">
        <v>12.5</v>
      </c>
      <c r="AB121" s="206">
        <v>4.05</v>
      </c>
      <c r="AC121" s="207">
        <v>4.05</v>
      </c>
      <c r="AD121" s="208">
        <v>1</v>
      </c>
      <c r="AE121" s="208">
        <v>7.1</v>
      </c>
      <c r="AF121" s="206">
        <v>21.4</v>
      </c>
      <c r="AG121" s="211"/>
      <c r="AH121" s="207">
        <v>15.2</v>
      </c>
      <c r="AI121" s="225">
        <v>27.6</v>
      </c>
      <c r="AK121" s="252">
        <v>991.11500000000001</v>
      </c>
      <c r="AL121" s="45"/>
      <c r="AM121" s="204">
        <v>1900.25</v>
      </c>
      <c r="AN121" s="204">
        <v>1900.25</v>
      </c>
      <c r="AO121" s="204">
        <v>1039.25</v>
      </c>
      <c r="AP121" s="206">
        <v>18.690000000000001</v>
      </c>
      <c r="AQ121" s="206">
        <v>18.690000000000001</v>
      </c>
      <c r="AR121" s="206">
        <v>4.13</v>
      </c>
      <c r="AS121" s="206">
        <v>13.14</v>
      </c>
      <c r="AT121" s="206">
        <v>13.14</v>
      </c>
      <c r="AU121" s="206">
        <v>5.0599999999999996</v>
      </c>
      <c r="AV121" s="206">
        <v>23.41</v>
      </c>
      <c r="AW121" s="206">
        <v>23.425000000000001</v>
      </c>
      <c r="AX121" s="206">
        <v>4.21</v>
      </c>
      <c r="AY121" s="45"/>
      <c r="AZ121" s="240">
        <v>1896.8</v>
      </c>
      <c r="BA121" s="240">
        <v>1896.8</v>
      </c>
      <c r="BB121" s="241">
        <v>924.2</v>
      </c>
      <c r="BC121" s="206">
        <v>8.86</v>
      </c>
      <c r="BD121" s="211">
        <v>8.86</v>
      </c>
      <c r="BE121" s="206">
        <v>3.64</v>
      </c>
      <c r="BF121" s="206">
        <v>3.91</v>
      </c>
      <c r="BG121" s="211">
        <v>3.91</v>
      </c>
      <c r="BH121" s="206">
        <v>3.19</v>
      </c>
      <c r="BI121" s="206">
        <v>20.75</v>
      </c>
      <c r="BJ121" s="211"/>
      <c r="BK121" s="253">
        <v>6.93</v>
      </c>
    </row>
    <row r="122" spans="1:63" x14ac:dyDescent="0.2">
      <c r="A122" s="224">
        <v>991.31500000000005</v>
      </c>
      <c r="B122" s="203"/>
      <c r="C122" s="204">
        <v>2831</v>
      </c>
      <c r="D122" s="212"/>
      <c r="E122" s="205">
        <v>576</v>
      </c>
      <c r="F122" s="205">
        <v>5086</v>
      </c>
      <c r="G122" s="258">
        <v>17.45</v>
      </c>
      <c r="H122" s="208"/>
      <c r="I122" s="260">
        <v>9.1999999999999993</v>
      </c>
      <c r="J122" s="260">
        <v>25.7</v>
      </c>
      <c r="K122" s="206">
        <v>13.3</v>
      </c>
      <c r="L122" s="207"/>
      <c r="M122" s="208">
        <v>3.6</v>
      </c>
      <c r="N122" s="208">
        <v>23</v>
      </c>
      <c r="O122" s="206">
        <v>20.55</v>
      </c>
      <c r="P122" s="207"/>
      <c r="Q122" s="209">
        <v>13.2</v>
      </c>
      <c r="R122" s="208">
        <v>27.9</v>
      </c>
      <c r="S122" s="45"/>
      <c r="T122" s="209">
        <v>1746.5</v>
      </c>
      <c r="U122" s="210"/>
      <c r="V122" s="210">
        <v>1007</v>
      </c>
      <c r="W122" s="210">
        <v>2486</v>
      </c>
      <c r="X122" s="206">
        <v>7.95</v>
      </c>
      <c r="Y122" s="208"/>
      <c r="Z122" s="207">
        <v>5.5</v>
      </c>
      <c r="AA122" s="207">
        <v>10.4</v>
      </c>
      <c r="AB122" s="206">
        <v>3.95</v>
      </c>
      <c r="AC122" s="207"/>
      <c r="AD122" s="208">
        <v>1</v>
      </c>
      <c r="AE122" s="208">
        <v>6.9</v>
      </c>
      <c r="AF122" s="206">
        <v>14.8</v>
      </c>
      <c r="AG122" s="211"/>
      <c r="AH122" s="207">
        <v>14.4</v>
      </c>
      <c r="AI122" s="225">
        <v>15.2</v>
      </c>
      <c r="AK122" s="252">
        <v>991.31500000000005</v>
      </c>
      <c r="AL122" s="45"/>
      <c r="AM122" s="204">
        <v>1929</v>
      </c>
      <c r="AN122" s="204"/>
      <c r="AO122" s="204">
        <v>1077</v>
      </c>
      <c r="AP122" s="206">
        <v>11.33</v>
      </c>
      <c r="AQ122" s="211"/>
      <c r="AR122" s="206">
        <v>2.13</v>
      </c>
      <c r="AS122" s="206">
        <v>6.86</v>
      </c>
      <c r="AT122" s="206"/>
      <c r="AU122" s="206">
        <v>3.26</v>
      </c>
      <c r="AV122" s="206">
        <v>15.15</v>
      </c>
      <c r="AW122" s="206"/>
      <c r="AX122" s="206">
        <v>1.95</v>
      </c>
      <c r="AY122" s="45"/>
      <c r="AZ122" s="240">
        <v>1821.2</v>
      </c>
      <c r="BA122" s="240"/>
      <c r="BB122" s="241">
        <v>865.8</v>
      </c>
      <c r="BC122" s="206">
        <v>8.3699999999999992</v>
      </c>
      <c r="BD122" s="211"/>
      <c r="BE122" s="206">
        <v>3.29</v>
      </c>
      <c r="BF122" s="206">
        <v>3.8</v>
      </c>
      <c r="BG122" s="211"/>
      <c r="BH122" s="206">
        <v>3.22</v>
      </c>
      <c r="BI122" s="206">
        <v>15.48</v>
      </c>
      <c r="BJ122" s="211"/>
      <c r="BK122" s="253">
        <v>3.04</v>
      </c>
    </row>
    <row r="123" spans="1:63" x14ac:dyDescent="0.2">
      <c r="A123" s="224">
        <v>991.5</v>
      </c>
      <c r="B123" s="203"/>
      <c r="C123" s="204">
        <v>1097</v>
      </c>
      <c r="D123" s="204">
        <v>1097</v>
      </c>
      <c r="E123" s="205">
        <v>576</v>
      </c>
      <c r="F123" s="205">
        <v>1618</v>
      </c>
      <c r="G123" s="258">
        <v>19.7</v>
      </c>
      <c r="H123" s="206">
        <v>19.7</v>
      </c>
      <c r="I123" s="260">
        <v>18.2</v>
      </c>
      <c r="J123" s="260">
        <v>21.2</v>
      </c>
      <c r="K123" s="206">
        <v>14.65</v>
      </c>
      <c r="L123" s="206">
        <v>14.65</v>
      </c>
      <c r="M123" s="208">
        <v>12.9</v>
      </c>
      <c r="N123" s="208">
        <v>16.399999999999999</v>
      </c>
      <c r="O123" s="206">
        <v>25.4</v>
      </c>
      <c r="P123" s="206">
        <v>25.4</v>
      </c>
      <c r="Q123" s="209">
        <v>22.9</v>
      </c>
      <c r="R123" s="208">
        <v>27.9</v>
      </c>
      <c r="S123" s="45"/>
      <c r="T123" s="209">
        <v>1854.5</v>
      </c>
      <c r="U123" s="209">
        <v>1854.5</v>
      </c>
      <c r="V123" s="210">
        <v>1223</v>
      </c>
      <c r="W123" s="210">
        <v>2486</v>
      </c>
      <c r="X123" s="206">
        <v>7.95</v>
      </c>
      <c r="Y123" s="208">
        <v>7.95</v>
      </c>
      <c r="Z123" s="207">
        <v>5.5</v>
      </c>
      <c r="AA123" s="207">
        <v>10.4</v>
      </c>
      <c r="AB123" s="206">
        <v>4.3499999999999996</v>
      </c>
      <c r="AC123" s="207">
        <v>4.3499999999999996</v>
      </c>
      <c r="AD123" s="208">
        <v>1.8</v>
      </c>
      <c r="AE123" s="208">
        <v>6.9</v>
      </c>
      <c r="AF123" s="206">
        <v>14.8</v>
      </c>
      <c r="AG123" s="206">
        <v>14.8</v>
      </c>
      <c r="AH123" s="207">
        <v>14.4</v>
      </c>
      <c r="AI123" s="225">
        <v>15.2</v>
      </c>
      <c r="AK123" s="252">
        <v>991.5</v>
      </c>
      <c r="AL123" s="45"/>
      <c r="AM123" s="204">
        <v>1374.1</v>
      </c>
      <c r="AN123" s="204">
        <v>1374.1</v>
      </c>
      <c r="AO123" s="204">
        <v>591.1</v>
      </c>
      <c r="AP123" s="206">
        <v>16.05</v>
      </c>
      <c r="AQ123" s="206">
        <v>16.05</v>
      </c>
      <c r="AR123" s="206">
        <v>-0.25</v>
      </c>
      <c r="AS123" s="206">
        <v>11</v>
      </c>
      <c r="AT123" s="206">
        <v>11</v>
      </c>
      <c r="AU123" s="206">
        <v>0.65</v>
      </c>
      <c r="AV123" s="206">
        <v>21.125</v>
      </c>
      <c r="AW123" s="206">
        <v>21.125</v>
      </c>
      <c r="AX123" s="206">
        <v>2.4999999999998579E-2</v>
      </c>
      <c r="AY123" s="45"/>
      <c r="AZ123" s="240">
        <v>1792</v>
      </c>
      <c r="BA123" s="240">
        <v>1792</v>
      </c>
      <c r="BB123" s="241">
        <v>720</v>
      </c>
      <c r="BC123" s="206">
        <v>8.01</v>
      </c>
      <c r="BD123" s="211">
        <v>8</v>
      </c>
      <c r="BE123" s="206">
        <v>2.63</v>
      </c>
      <c r="BF123" s="206">
        <v>4.1100000000000003</v>
      </c>
      <c r="BG123" s="206">
        <v>4.1100000000000003</v>
      </c>
      <c r="BH123" s="206">
        <v>2.79</v>
      </c>
      <c r="BI123" s="206">
        <v>13.66</v>
      </c>
      <c r="BJ123" s="206">
        <v>13.66</v>
      </c>
      <c r="BK123" s="253">
        <v>0.86000000000000121</v>
      </c>
    </row>
    <row r="124" spans="1:63" x14ac:dyDescent="0.2">
      <c r="A124" s="224">
        <v>991.8</v>
      </c>
      <c r="B124" s="203"/>
      <c r="C124" s="204">
        <v>2831</v>
      </c>
      <c r="D124" s="212"/>
      <c r="E124" s="205">
        <v>576</v>
      </c>
      <c r="F124" s="205">
        <v>5086</v>
      </c>
      <c r="G124" s="258">
        <v>17.45</v>
      </c>
      <c r="H124" s="208"/>
      <c r="I124" s="260">
        <v>9.1999999999999993</v>
      </c>
      <c r="J124" s="260">
        <v>25.7</v>
      </c>
      <c r="K124" s="206">
        <v>13.3</v>
      </c>
      <c r="L124" s="207"/>
      <c r="M124" s="208">
        <v>3.6</v>
      </c>
      <c r="N124" s="208">
        <v>23</v>
      </c>
      <c r="O124" s="206">
        <v>20.55</v>
      </c>
      <c r="P124" s="207"/>
      <c r="Q124" s="209">
        <v>13.2</v>
      </c>
      <c r="R124" s="208">
        <v>27.9</v>
      </c>
      <c r="S124" s="45"/>
      <c r="T124" s="209">
        <v>3112</v>
      </c>
      <c r="U124" s="210"/>
      <c r="V124" s="210">
        <v>565</v>
      </c>
      <c r="W124" s="210">
        <v>5659</v>
      </c>
      <c r="X124" s="206">
        <v>15.6</v>
      </c>
      <c r="Y124" s="208"/>
      <c r="Z124" s="207">
        <v>5.5</v>
      </c>
      <c r="AA124" s="207">
        <v>25.7</v>
      </c>
      <c r="AB124" s="206">
        <v>12.3</v>
      </c>
      <c r="AC124" s="207"/>
      <c r="AD124" s="208">
        <v>1</v>
      </c>
      <c r="AE124" s="208">
        <v>23.6</v>
      </c>
      <c r="AF124" s="206">
        <v>21.4</v>
      </c>
      <c r="AG124" s="211"/>
      <c r="AH124" s="207">
        <v>15.2</v>
      </c>
      <c r="AI124" s="225">
        <v>27.6</v>
      </c>
      <c r="AK124" s="252">
        <v>991.8</v>
      </c>
      <c r="AL124" s="45"/>
      <c r="AM124" s="204">
        <v>2831</v>
      </c>
      <c r="AN124" s="204"/>
      <c r="AO124" s="204">
        <v>2255</v>
      </c>
      <c r="AP124" s="206">
        <v>17.45</v>
      </c>
      <c r="AQ124" s="211"/>
      <c r="AR124" s="206">
        <v>8.25</v>
      </c>
      <c r="AS124" s="206">
        <v>13.3</v>
      </c>
      <c r="AT124" s="206"/>
      <c r="AU124" s="206">
        <v>9.6999999999999993</v>
      </c>
      <c r="AV124" s="206">
        <v>20.55</v>
      </c>
      <c r="AW124" s="206"/>
      <c r="AX124" s="206">
        <v>7.35</v>
      </c>
      <c r="AY124" s="45"/>
      <c r="AZ124" s="240">
        <v>3175.75</v>
      </c>
      <c r="BA124" s="240"/>
      <c r="BB124" s="241">
        <v>2619.85</v>
      </c>
      <c r="BC124" s="206">
        <v>15.625</v>
      </c>
      <c r="BD124" s="211"/>
      <c r="BE124" s="206">
        <v>10.195</v>
      </c>
      <c r="BF124" s="206">
        <v>12.31</v>
      </c>
      <c r="BG124" s="211"/>
      <c r="BH124" s="206">
        <v>11.41</v>
      </c>
      <c r="BI124" s="206">
        <v>21.195</v>
      </c>
      <c r="BJ124" s="211"/>
      <c r="BK124" s="253">
        <v>6.6849999999999996</v>
      </c>
    </row>
    <row r="125" spans="1:63" x14ac:dyDescent="0.2">
      <c r="A125" s="224">
        <v>992.1</v>
      </c>
      <c r="B125" s="203"/>
      <c r="C125" s="204">
        <v>1387</v>
      </c>
      <c r="D125" s="204">
        <v>1387</v>
      </c>
      <c r="E125" s="205">
        <v>1139</v>
      </c>
      <c r="F125" s="205">
        <v>1635</v>
      </c>
      <c r="G125" s="258">
        <v>18</v>
      </c>
      <c r="H125" s="208">
        <v>18</v>
      </c>
      <c r="I125" s="260">
        <v>14.8</v>
      </c>
      <c r="J125" s="260">
        <v>21.2</v>
      </c>
      <c r="K125" s="206">
        <v>12.45</v>
      </c>
      <c r="L125" s="208">
        <v>12.45</v>
      </c>
      <c r="M125" s="208">
        <v>8.5</v>
      </c>
      <c r="N125" s="208">
        <v>16.399999999999999</v>
      </c>
      <c r="O125" s="206">
        <v>23.5</v>
      </c>
      <c r="P125" s="208">
        <v>23.5</v>
      </c>
      <c r="Q125" s="209">
        <v>19.8</v>
      </c>
      <c r="R125" s="208">
        <v>27.2</v>
      </c>
      <c r="S125" s="45"/>
      <c r="T125" s="209">
        <v>1452</v>
      </c>
      <c r="U125" s="209">
        <v>1452</v>
      </c>
      <c r="V125" s="210">
        <v>921</v>
      </c>
      <c r="W125" s="210">
        <v>1983</v>
      </c>
      <c r="X125" s="206">
        <v>10.45</v>
      </c>
      <c r="Y125" s="206">
        <v>10.45</v>
      </c>
      <c r="Z125" s="207">
        <v>10.4</v>
      </c>
      <c r="AA125" s="207">
        <v>10.5</v>
      </c>
      <c r="AB125" s="206">
        <v>6</v>
      </c>
      <c r="AC125" s="206">
        <v>6</v>
      </c>
      <c r="AD125" s="208">
        <v>5.0999999999999996</v>
      </c>
      <c r="AE125" s="208">
        <v>6.9</v>
      </c>
      <c r="AF125" s="206">
        <v>14.8</v>
      </c>
      <c r="AG125" s="206">
        <v>14.8</v>
      </c>
      <c r="AH125" s="207">
        <v>14.4</v>
      </c>
      <c r="AI125" s="225">
        <v>15.2</v>
      </c>
      <c r="AK125" s="252">
        <v>992.1</v>
      </c>
      <c r="AL125" s="45"/>
      <c r="AM125" s="204">
        <v>1545.25</v>
      </c>
      <c r="AN125" s="204">
        <v>1545.25</v>
      </c>
      <c r="AO125" s="204">
        <v>515.25</v>
      </c>
      <c r="AP125" s="206">
        <v>16.239999999999998</v>
      </c>
      <c r="AQ125" s="206">
        <v>16.239999999999998</v>
      </c>
      <c r="AR125" s="206">
        <v>1.72</v>
      </c>
      <c r="AS125" s="206">
        <v>10.78</v>
      </c>
      <c r="AT125" s="206">
        <v>10.78</v>
      </c>
      <c r="AU125" s="206">
        <v>2.77</v>
      </c>
      <c r="AV125" s="206">
        <v>21.405000000000001</v>
      </c>
      <c r="AW125" s="206">
        <v>21.405000000000001</v>
      </c>
      <c r="AX125" s="206">
        <v>1.9550000000000001</v>
      </c>
      <c r="AY125" s="45"/>
      <c r="AZ125" s="240">
        <v>1577.75</v>
      </c>
      <c r="BA125" s="240">
        <v>1577.75</v>
      </c>
      <c r="BB125" s="241">
        <v>656.75</v>
      </c>
      <c r="BC125" s="206">
        <v>10.315</v>
      </c>
      <c r="BD125" s="206">
        <v>10.315</v>
      </c>
      <c r="BE125" s="206">
        <v>0.44500000000000001</v>
      </c>
      <c r="BF125" s="206">
        <v>5.84</v>
      </c>
      <c r="BG125" s="206">
        <v>5.84</v>
      </c>
      <c r="BH125" s="206">
        <v>1.06</v>
      </c>
      <c r="BI125" s="206">
        <v>14.73</v>
      </c>
      <c r="BJ125" s="206">
        <v>14.73</v>
      </c>
      <c r="BK125" s="253">
        <v>-0.11999999999999922</v>
      </c>
    </row>
    <row r="126" spans="1:63" x14ac:dyDescent="0.2">
      <c r="A126" s="224">
        <v>992.3</v>
      </c>
      <c r="B126" s="203"/>
      <c r="C126" s="204">
        <v>1355</v>
      </c>
      <c r="D126" s="212"/>
      <c r="E126" s="205">
        <v>576</v>
      </c>
      <c r="F126" s="205">
        <v>2134</v>
      </c>
      <c r="G126" s="258">
        <v>18.100000000000001</v>
      </c>
      <c r="H126" s="208"/>
      <c r="I126" s="260">
        <v>10.5</v>
      </c>
      <c r="J126" s="260">
        <v>25.7</v>
      </c>
      <c r="K126" s="206">
        <v>14.05</v>
      </c>
      <c r="L126" s="207"/>
      <c r="M126" s="208">
        <v>5.0999999999999996</v>
      </c>
      <c r="N126" s="208">
        <v>23</v>
      </c>
      <c r="O126" s="206">
        <v>20.55</v>
      </c>
      <c r="P126" s="207"/>
      <c r="Q126" s="209">
        <v>13.2</v>
      </c>
      <c r="R126" s="208">
        <v>27.9</v>
      </c>
      <c r="S126" s="45"/>
      <c r="T126" s="209">
        <v>1678.5</v>
      </c>
      <c r="U126" s="210"/>
      <c r="V126" s="210">
        <v>1223</v>
      </c>
      <c r="W126" s="210">
        <v>2134</v>
      </c>
      <c r="X126" s="206">
        <v>10.65</v>
      </c>
      <c r="Y126" s="208"/>
      <c r="Z126" s="207">
        <v>10.5</v>
      </c>
      <c r="AA126" s="207">
        <v>10.8</v>
      </c>
      <c r="AB126" s="206">
        <v>6</v>
      </c>
      <c r="AC126" s="207"/>
      <c r="AD126" s="208">
        <v>5.0999999999999996</v>
      </c>
      <c r="AE126" s="208">
        <v>6.9</v>
      </c>
      <c r="AF126" s="206">
        <v>14.95</v>
      </c>
      <c r="AG126" s="211"/>
      <c r="AH126" s="207">
        <v>14.7</v>
      </c>
      <c r="AI126" s="225">
        <v>15.2</v>
      </c>
      <c r="AK126" s="252">
        <v>992.3</v>
      </c>
      <c r="AL126" s="45"/>
      <c r="AM126" s="204">
        <v>1650.2</v>
      </c>
      <c r="AN126" s="204"/>
      <c r="AO126" s="204">
        <v>1074.2</v>
      </c>
      <c r="AP126" s="206">
        <v>17.97</v>
      </c>
      <c r="AQ126" s="211"/>
      <c r="AR126" s="206">
        <v>7.73</v>
      </c>
      <c r="AS126" s="206">
        <v>13.9</v>
      </c>
      <c r="AT126" s="206"/>
      <c r="AU126" s="206">
        <v>9.1</v>
      </c>
      <c r="AV126" s="206">
        <v>20.55</v>
      </c>
      <c r="AW126" s="206"/>
      <c r="AX126" s="206">
        <v>7.35</v>
      </c>
      <c r="AY126" s="45"/>
      <c r="AZ126" s="240">
        <v>1704</v>
      </c>
      <c r="BA126" s="240"/>
      <c r="BB126" s="241">
        <v>632</v>
      </c>
      <c r="BC126" s="206">
        <v>9.8249999999999993</v>
      </c>
      <c r="BD126" s="211"/>
      <c r="BE126" s="206">
        <v>1.825</v>
      </c>
      <c r="BF126" s="206">
        <v>5.07</v>
      </c>
      <c r="BG126" s="211"/>
      <c r="BH126" s="206">
        <v>1.95</v>
      </c>
      <c r="BI126" s="206">
        <v>16.164999999999999</v>
      </c>
      <c r="BJ126" s="211"/>
      <c r="BK126" s="253">
        <v>2.4049999999999998</v>
      </c>
    </row>
    <row r="127" spans="1:63" x14ac:dyDescent="0.2">
      <c r="A127" s="224">
        <v>992.49</v>
      </c>
      <c r="B127" s="203"/>
      <c r="C127" s="204">
        <v>2831</v>
      </c>
      <c r="D127" s="212"/>
      <c r="E127" s="205">
        <v>576</v>
      </c>
      <c r="F127" s="205">
        <v>5086</v>
      </c>
      <c r="G127" s="258">
        <v>17.45</v>
      </c>
      <c r="H127" s="208"/>
      <c r="I127" s="260">
        <v>9.1999999999999993</v>
      </c>
      <c r="J127" s="260">
        <v>25.7</v>
      </c>
      <c r="K127" s="206">
        <v>13.3</v>
      </c>
      <c r="L127" s="207"/>
      <c r="M127" s="208">
        <v>3.6</v>
      </c>
      <c r="N127" s="208">
        <v>23</v>
      </c>
      <c r="O127" s="206">
        <v>20.55</v>
      </c>
      <c r="P127" s="207"/>
      <c r="Q127" s="209">
        <v>13.2</v>
      </c>
      <c r="R127" s="208">
        <v>27.9</v>
      </c>
      <c r="S127" s="45"/>
      <c r="T127" s="209">
        <v>1871</v>
      </c>
      <c r="U127" s="210"/>
      <c r="V127" s="210">
        <v>921</v>
      </c>
      <c r="W127" s="210">
        <v>2821</v>
      </c>
      <c r="X127" s="206">
        <v>8</v>
      </c>
      <c r="Y127" s="208"/>
      <c r="Z127" s="207">
        <v>3.5</v>
      </c>
      <c r="AA127" s="207">
        <v>12.5</v>
      </c>
      <c r="AB127" s="206">
        <v>3.7</v>
      </c>
      <c r="AC127" s="207"/>
      <c r="AD127" s="208">
        <v>0.3</v>
      </c>
      <c r="AE127" s="208">
        <v>7.1</v>
      </c>
      <c r="AF127" s="206">
        <v>16.5</v>
      </c>
      <c r="AG127" s="211"/>
      <c r="AH127" s="207">
        <v>8.3000000000000007</v>
      </c>
      <c r="AI127" s="225">
        <v>24.7</v>
      </c>
      <c r="AK127" s="252">
        <v>992.49</v>
      </c>
      <c r="AL127" s="45"/>
      <c r="AM127" s="204">
        <v>2831</v>
      </c>
      <c r="AN127" s="204"/>
      <c r="AO127" s="204">
        <v>2255</v>
      </c>
      <c r="AP127" s="206">
        <v>17.45</v>
      </c>
      <c r="AQ127" s="211"/>
      <c r="AR127" s="206">
        <v>8.25</v>
      </c>
      <c r="AS127" s="206">
        <v>13.3</v>
      </c>
      <c r="AT127" s="206"/>
      <c r="AU127" s="206">
        <v>9.6999999999999993</v>
      </c>
      <c r="AV127" s="206">
        <v>20.55</v>
      </c>
      <c r="AW127" s="206"/>
      <c r="AX127" s="206">
        <v>7.35</v>
      </c>
      <c r="AY127" s="45"/>
      <c r="AZ127" s="240">
        <v>1871</v>
      </c>
      <c r="BA127" s="240"/>
      <c r="BB127" s="241">
        <v>950</v>
      </c>
      <c r="BC127" s="206">
        <v>8</v>
      </c>
      <c r="BD127" s="211"/>
      <c r="BE127" s="206">
        <v>4.5</v>
      </c>
      <c r="BF127" s="206">
        <v>3.7</v>
      </c>
      <c r="BG127" s="211"/>
      <c r="BH127" s="206">
        <v>3.4</v>
      </c>
      <c r="BI127" s="206">
        <v>16.5</v>
      </c>
      <c r="BJ127" s="211"/>
      <c r="BK127" s="253">
        <v>8.1999999999999993</v>
      </c>
    </row>
    <row r="128" spans="1:63" x14ac:dyDescent="0.2">
      <c r="A128" s="224">
        <v>992.68</v>
      </c>
      <c r="B128" s="203"/>
      <c r="C128" s="204">
        <v>1378.5</v>
      </c>
      <c r="D128" s="204">
        <v>1378.5</v>
      </c>
      <c r="E128" s="205">
        <v>1139</v>
      </c>
      <c r="F128" s="205">
        <v>1618</v>
      </c>
      <c r="G128" s="258">
        <v>17.8</v>
      </c>
      <c r="H128" s="206">
        <v>17.8</v>
      </c>
      <c r="I128" s="260">
        <v>14.4</v>
      </c>
      <c r="J128" s="260">
        <v>21.2</v>
      </c>
      <c r="K128" s="206">
        <v>12.1</v>
      </c>
      <c r="L128" s="208">
        <v>14.2</v>
      </c>
      <c r="M128" s="208">
        <v>7.8</v>
      </c>
      <c r="N128" s="208">
        <v>16.399999999999999</v>
      </c>
      <c r="O128" s="206">
        <v>23.5</v>
      </c>
      <c r="P128" s="208">
        <v>23.5</v>
      </c>
      <c r="Q128" s="209">
        <v>19.8</v>
      </c>
      <c r="R128" s="208">
        <v>27.2</v>
      </c>
      <c r="S128" s="45"/>
      <c r="T128" s="209">
        <v>1527.5</v>
      </c>
      <c r="U128" s="209">
        <v>1527.5</v>
      </c>
      <c r="V128" s="210">
        <v>921</v>
      </c>
      <c r="W128" s="210">
        <v>2134</v>
      </c>
      <c r="X128" s="206">
        <v>10.45</v>
      </c>
      <c r="Y128" s="206">
        <v>10.45</v>
      </c>
      <c r="Z128" s="207">
        <v>10.4</v>
      </c>
      <c r="AA128" s="207">
        <v>10.5</v>
      </c>
      <c r="AB128" s="206">
        <v>6</v>
      </c>
      <c r="AC128" s="206">
        <v>6</v>
      </c>
      <c r="AD128" s="208">
        <v>5.0999999999999996</v>
      </c>
      <c r="AE128" s="208">
        <v>6.9</v>
      </c>
      <c r="AF128" s="206">
        <v>14.8</v>
      </c>
      <c r="AG128" s="206">
        <v>14.8</v>
      </c>
      <c r="AH128" s="207">
        <v>14.4</v>
      </c>
      <c r="AI128" s="225">
        <v>15.2</v>
      </c>
      <c r="AK128" s="252">
        <v>992.68</v>
      </c>
      <c r="AL128" s="45"/>
      <c r="AM128" s="204">
        <v>1369.1</v>
      </c>
      <c r="AN128" s="204">
        <v>1369.1</v>
      </c>
      <c r="AO128" s="204">
        <v>455.3</v>
      </c>
      <c r="AP128" s="206">
        <v>15.16</v>
      </c>
      <c r="AQ128" s="206">
        <v>15.16</v>
      </c>
      <c r="AR128" s="206">
        <v>1.72</v>
      </c>
      <c r="AS128" s="206">
        <v>9.9600000000000009</v>
      </c>
      <c r="AT128" s="206">
        <v>9.9600000000000009</v>
      </c>
      <c r="AU128" s="206">
        <v>2.64</v>
      </c>
      <c r="AV128" s="206">
        <v>23.55</v>
      </c>
      <c r="AW128" s="206">
        <v>23.55</v>
      </c>
      <c r="AX128" s="206">
        <v>4</v>
      </c>
      <c r="AY128" s="45"/>
      <c r="AZ128" s="240">
        <v>1664.9</v>
      </c>
      <c r="BA128" s="240">
        <v>1664.9</v>
      </c>
      <c r="BB128" s="241">
        <v>743.9</v>
      </c>
      <c r="BC128" s="206">
        <v>8.84</v>
      </c>
      <c r="BD128" s="206">
        <v>8.84</v>
      </c>
      <c r="BE128" s="206">
        <v>1.84</v>
      </c>
      <c r="BF128" s="206">
        <v>5.07</v>
      </c>
      <c r="BG128" s="206">
        <v>5.07</v>
      </c>
      <c r="BH128" s="206">
        <v>1.95</v>
      </c>
      <c r="BI128" s="206">
        <v>13.675000000000001</v>
      </c>
      <c r="BJ128" s="206">
        <v>13.675000000000001</v>
      </c>
      <c r="BK128" s="253">
        <v>0.875</v>
      </c>
    </row>
    <row r="129" spans="1:63" x14ac:dyDescent="0.2">
      <c r="A129" s="224">
        <v>992.89</v>
      </c>
      <c r="B129" s="203"/>
      <c r="C129" s="204">
        <v>1097</v>
      </c>
      <c r="D129" s="204">
        <v>1097</v>
      </c>
      <c r="E129" s="205">
        <v>576</v>
      </c>
      <c r="F129" s="205">
        <v>1618</v>
      </c>
      <c r="G129" s="258">
        <v>19.25</v>
      </c>
      <c r="H129" s="206">
        <v>19.25</v>
      </c>
      <c r="I129" s="260">
        <v>12.8</v>
      </c>
      <c r="J129" s="260">
        <v>25.7</v>
      </c>
      <c r="K129" s="206">
        <v>14.65</v>
      </c>
      <c r="L129" s="206">
        <v>14.65</v>
      </c>
      <c r="M129" s="208">
        <v>6.3</v>
      </c>
      <c r="N129" s="208">
        <v>23</v>
      </c>
      <c r="O129" s="206">
        <v>23.6</v>
      </c>
      <c r="P129" s="206">
        <v>23.6</v>
      </c>
      <c r="Q129" s="209">
        <v>19.3</v>
      </c>
      <c r="R129" s="208">
        <v>27.9</v>
      </c>
      <c r="S129" s="45"/>
      <c r="T129" s="209">
        <v>1703.5</v>
      </c>
      <c r="U129" s="209">
        <v>1703.5</v>
      </c>
      <c r="V129" s="210">
        <v>921</v>
      </c>
      <c r="W129" s="210">
        <v>2486</v>
      </c>
      <c r="X129" s="206">
        <v>7.95</v>
      </c>
      <c r="Y129" s="206">
        <v>7.95</v>
      </c>
      <c r="Z129" s="207">
        <v>5.5</v>
      </c>
      <c r="AA129" s="207">
        <v>10.4</v>
      </c>
      <c r="AB129" s="206">
        <v>3.95</v>
      </c>
      <c r="AC129" s="206">
        <v>3.95</v>
      </c>
      <c r="AD129" s="208">
        <v>1</v>
      </c>
      <c r="AE129" s="208">
        <v>6.9</v>
      </c>
      <c r="AF129" s="206">
        <v>14.8</v>
      </c>
      <c r="AG129" s="211"/>
      <c r="AH129" s="207">
        <v>14.4</v>
      </c>
      <c r="AI129" s="225">
        <v>15.2</v>
      </c>
      <c r="AK129" s="252">
        <v>992.89</v>
      </c>
      <c r="AL129" s="45"/>
      <c r="AM129" s="204">
        <v>1200.5</v>
      </c>
      <c r="AN129" s="204">
        <v>1200.5</v>
      </c>
      <c r="AO129" s="204">
        <v>417.5</v>
      </c>
      <c r="AP129" s="206">
        <v>14.66</v>
      </c>
      <c r="AQ129" s="206">
        <v>14.66</v>
      </c>
      <c r="AR129" s="206">
        <v>1.86</v>
      </c>
      <c r="AS129" s="206">
        <v>9.82</v>
      </c>
      <c r="AT129" s="206">
        <v>9.82</v>
      </c>
      <c r="AU129" s="206">
        <v>3.52</v>
      </c>
      <c r="AV129" s="206">
        <v>19.55</v>
      </c>
      <c r="AW129" s="206">
        <v>19.55</v>
      </c>
      <c r="AX129" s="206">
        <v>0.24999999999999645</v>
      </c>
      <c r="AY129" s="45"/>
      <c r="AZ129" s="240">
        <v>1787.25</v>
      </c>
      <c r="BA129" s="240">
        <v>1787.25</v>
      </c>
      <c r="BB129" s="241">
        <v>866.25</v>
      </c>
      <c r="BC129" s="206">
        <v>8.3000000000000007</v>
      </c>
      <c r="BD129" s="206">
        <v>8.3000000000000007</v>
      </c>
      <c r="BE129" s="206">
        <v>3.15</v>
      </c>
      <c r="BF129" s="206">
        <v>3.8250000000000002</v>
      </c>
      <c r="BG129" s="206">
        <v>3.8250000000000002</v>
      </c>
      <c r="BH129" s="206">
        <v>3.1749999999999998</v>
      </c>
      <c r="BI129" s="206">
        <v>15.31</v>
      </c>
      <c r="BJ129" s="211"/>
      <c r="BK129" s="253">
        <v>2.1800000000000002</v>
      </c>
    </row>
    <row r="130" spans="1:63" x14ac:dyDescent="0.2">
      <c r="A130" s="224">
        <v>993.09500000000003</v>
      </c>
      <c r="B130" s="203"/>
      <c r="C130" s="204">
        <v>958.5</v>
      </c>
      <c r="D130" s="204">
        <v>958.5</v>
      </c>
      <c r="E130" s="205">
        <v>576</v>
      </c>
      <c r="F130" s="205">
        <v>1341</v>
      </c>
      <c r="G130" s="258">
        <v>17.399999999999999</v>
      </c>
      <c r="H130" s="208">
        <v>17.399999999999999</v>
      </c>
      <c r="I130" s="260">
        <v>12.8</v>
      </c>
      <c r="J130" s="260">
        <v>22</v>
      </c>
      <c r="K130" s="206">
        <v>11.2</v>
      </c>
      <c r="L130" s="208">
        <v>11.2</v>
      </c>
      <c r="M130" s="208">
        <v>6.3</v>
      </c>
      <c r="N130" s="208">
        <v>16.100000000000001</v>
      </c>
      <c r="O130" s="206">
        <v>23.6</v>
      </c>
      <c r="P130" s="208">
        <v>23.6</v>
      </c>
      <c r="Q130" s="209">
        <v>19.3</v>
      </c>
      <c r="R130" s="208">
        <v>27.9</v>
      </c>
      <c r="S130" s="45"/>
      <c r="T130" s="209">
        <v>1678.5</v>
      </c>
      <c r="U130" s="209">
        <v>1678.5</v>
      </c>
      <c r="V130" s="210">
        <v>1223</v>
      </c>
      <c r="W130" s="210">
        <v>2134</v>
      </c>
      <c r="X130" s="206">
        <v>10.45</v>
      </c>
      <c r="Y130" s="206">
        <v>10.45</v>
      </c>
      <c r="Z130" s="207">
        <v>10.4</v>
      </c>
      <c r="AA130" s="207">
        <v>10.5</v>
      </c>
      <c r="AB130" s="206">
        <v>6</v>
      </c>
      <c r="AC130" s="206">
        <v>6</v>
      </c>
      <c r="AD130" s="208">
        <v>5.0999999999999996</v>
      </c>
      <c r="AE130" s="208">
        <v>6.9</v>
      </c>
      <c r="AF130" s="206">
        <v>14.8</v>
      </c>
      <c r="AG130" s="211">
        <v>14.8</v>
      </c>
      <c r="AH130" s="207">
        <v>14.4</v>
      </c>
      <c r="AI130" s="225">
        <v>15.2</v>
      </c>
      <c r="AK130" s="252">
        <v>993.09500000000003</v>
      </c>
      <c r="AL130" s="45"/>
      <c r="AM130" s="204">
        <v>1110.5999999999999</v>
      </c>
      <c r="AN130" s="204">
        <v>1110.5999999999999</v>
      </c>
      <c r="AO130" s="204">
        <v>396.6</v>
      </c>
      <c r="AP130" s="206">
        <v>14.99</v>
      </c>
      <c r="AQ130" s="206">
        <v>14.99</v>
      </c>
      <c r="AR130" s="206">
        <v>2.37</v>
      </c>
      <c r="AS130" s="206">
        <v>9.36</v>
      </c>
      <c r="AT130" s="206">
        <v>9.36</v>
      </c>
      <c r="AU130" s="206">
        <v>3.06</v>
      </c>
      <c r="AV130" s="206">
        <v>20</v>
      </c>
      <c r="AW130" s="206">
        <v>20</v>
      </c>
      <c r="AX130" s="206">
        <v>2.5</v>
      </c>
      <c r="AY130" s="45"/>
      <c r="AZ130" s="240">
        <v>1696</v>
      </c>
      <c r="BA130" s="240">
        <v>1696</v>
      </c>
      <c r="BB130" s="241">
        <v>684.4</v>
      </c>
      <c r="BC130" s="206">
        <v>8.84</v>
      </c>
      <c r="BD130" s="206">
        <v>8.84</v>
      </c>
      <c r="BE130" s="206">
        <v>1.84</v>
      </c>
      <c r="BF130" s="206">
        <v>4.8449999999999998</v>
      </c>
      <c r="BG130" s="206">
        <v>4.8449999999999998</v>
      </c>
      <c r="BH130" s="206">
        <v>2.0550000000000002</v>
      </c>
      <c r="BI130" s="206">
        <v>13.675000000000001</v>
      </c>
      <c r="BJ130" s="211">
        <v>13.675000000000001</v>
      </c>
      <c r="BK130" s="253">
        <v>0.875</v>
      </c>
    </row>
    <row r="131" spans="1:63" x14ac:dyDescent="0.2">
      <c r="A131" s="224">
        <v>993.29499999999996</v>
      </c>
      <c r="B131" s="203"/>
      <c r="C131" s="204">
        <v>1240</v>
      </c>
      <c r="D131" s="212"/>
      <c r="E131" s="205">
        <v>1139</v>
      </c>
      <c r="F131" s="205">
        <v>1341</v>
      </c>
      <c r="G131" s="258">
        <v>17.45</v>
      </c>
      <c r="H131" s="208"/>
      <c r="I131" s="260">
        <v>12.9</v>
      </c>
      <c r="J131" s="260">
        <v>22</v>
      </c>
      <c r="K131" s="206">
        <v>11.55</v>
      </c>
      <c r="L131" s="207"/>
      <c r="M131" s="208">
        <v>7</v>
      </c>
      <c r="N131" s="208">
        <v>16.100000000000001</v>
      </c>
      <c r="O131" s="206">
        <v>23.5</v>
      </c>
      <c r="P131" s="207"/>
      <c r="Q131" s="209">
        <v>19.8</v>
      </c>
      <c r="R131" s="208">
        <v>27.2</v>
      </c>
      <c r="S131" s="45"/>
      <c r="T131" s="209">
        <v>1854.5</v>
      </c>
      <c r="U131" s="210"/>
      <c r="V131" s="210">
        <v>1223</v>
      </c>
      <c r="W131" s="210">
        <v>2486</v>
      </c>
      <c r="X131" s="206">
        <v>7.95</v>
      </c>
      <c r="Y131" s="208"/>
      <c r="Z131" s="207">
        <v>5.5</v>
      </c>
      <c r="AA131" s="207">
        <v>10.4</v>
      </c>
      <c r="AB131" s="206">
        <v>4.3499999999999996</v>
      </c>
      <c r="AC131" s="207"/>
      <c r="AD131" s="208">
        <v>1.8</v>
      </c>
      <c r="AE131" s="208">
        <v>6.9</v>
      </c>
      <c r="AF131" s="206">
        <v>14.8</v>
      </c>
      <c r="AG131" s="211"/>
      <c r="AH131" s="207">
        <v>14.4</v>
      </c>
      <c r="AI131" s="225">
        <v>15.2</v>
      </c>
      <c r="AK131" s="252">
        <v>993.29499999999996</v>
      </c>
      <c r="AL131" s="45"/>
      <c r="AM131" s="204">
        <v>1257.7</v>
      </c>
      <c r="AN131" s="204"/>
      <c r="AO131" s="204">
        <v>249.5</v>
      </c>
      <c r="AP131" s="206">
        <v>15.1</v>
      </c>
      <c r="AQ131" s="211"/>
      <c r="AR131" s="206">
        <v>2.2599999999999998</v>
      </c>
      <c r="AS131" s="206">
        <v>9.7100000000000009</v>
      </c>
      <c r="AT131" s="206"/>
      <c r="AU131" s="206">
        <v>2.71</v>
      </c>
      <c r="AV131" s="206">
        <v>20.79</v>
      </c>
      <c r="AW131" s="206"/>
      <c r="AX131" s="206">
        <v>1.29</v>
      </c>
      <c r="AY131" s="45"/>
      <c r="AZ131" s="240">
        <v>1779.5</v>
      </c>
      <c r="BA131" s="240"/>
      <c r="BB131" s="241">
        <v>737.7</v>
      </c>
      <c r="BC131" s="206">
        <v>8.01</v>
      </c>
      <c r="BD131" s="211"/>
      <c r="BE131" s="206">
        <v>2.63</v>
      </c>
      <c r="BF131" s="206">
        <v>4.1100000000000003</v>
      </c>
      <c r="BG131" s="211"/>
      <c r="BH131" s="206">
        <v>2.79</v>
      </c>
      <c r="BI131" s="206">
        <v>13.66</v>
      </c>
      <c r="BJ131" s="211"/>
      <c r="BK131" s="253">
        <v>0.86000000000000121</v>
      </c>
    </row>
    <row r="132" spans="1:63" x14ac:dyDescent="0.2">
      <c r="A132" s="224">
        <v>993.495</v>
      </c>
      <c r="B132" s="203"/>
      <c r="C132" s="204">
        <v>1097</v>
      </c>
      <c r="D132" s="204">
        <v>1097</v>
      </c>
      <c r="E132" s="205">
        <v>576</v>
      </c>
      <c r="F132" s="205">
        <v>1618</v>
      </c>
      <c r="G132" s="258">
        <v>18.350000000000001</v>
      </c>
      <c r="H132" s="208">
        <v>18.350000000000001</v>
      </c>
      <c r="I132" s="260">
        <v>12.8</v>
      </c>
      <c r="J132" s="260">
        <v>23.9</v>
      </c>
      <c r="K132" s="206">
        <v>12.85</v>
      </c>
      <c r="L132" s="208">
        <v>12.85</v>
      </c>
      <c r="M132" s="208">
        <v>6.3</v>
      </c>
      <c r="N132" s="208">
        <v>19.399999999999999</v>
      </c>
      <c r="O132" s="206">
        <v>23.6</v>
      </c>
      <c r="P132" s="208">
        <v>23.6</v>
      </c>
      <c r="Q132" s="209">
        <v>19.3</v>
      </c>
      <c r="R132" s="208">
        <v>27.9</v>
      </c>
      <c r="S132" s="45"/>
      <c r="T132" s="209">
        <v>1570.5</v>
      </c>
      <c r="U132" s="209">
        <v>1570.5</v>
      </c>
      <c r="V132" s="210">
        <v>1007</v>
      </c>
      <c r="W132" s="210">
        <v>2134</v>
      </c>
      <c r="X132" s="206">
        <v>10.45</v>
      </c>
      <c r="Y132" s="208">
        <v>10.45</v>
      </c>
      <c r="Z132" s="207">
        <v>10.4</v>
      </c>
      <c r="AA132" s="207">
        <v>10.5</v>
      </c>
      <c r="AB132" s="206">
        <v>6</v>
      </c>
      <c r="AC132" s="207">
        <v>6</v>
      </c>
      <c r="AD132" s="208">
        <v>5.0999999999999996</v>
      </c>
      <c r="AE132" s="208">
        <v>6.9</v>
      </c>
      <c r="AF132" s="206">
        <v>14.8</v>
      </c>
      <c r="AG132" s="211">
        <v>14.8</v>
      </c>
      <c r="AH132" s="207">
        <v>14.4</v>
      </c>
      <c r="AI132" s="225">
        <v>15.2</v>
      </c>
      <c r="AK132" s="252">
        <v>993.495</v>
      </c>
      <c r="AL132" s="45"/>
      <c r="AM132" s="204">
        <v>1244.75</v>
      </c>
      <c r="AN132" s="204">
        <v>1244.75</v>
      </c>
      <c r="AO132" s="204">
        <v>496.25</v>
      </c>
      <c r="AP132" s="206">
        <v>14.4</v>
      </c>
      <c r="AQ132" s="211">
        <v>14.4</v>
      </c>
      <c r="AR132" s="206">
        <v>2.75</v>
      </c>
      <c r="AS132" s="206">
        <v>9.4250000000000007</v>
      </c>
      <c r="AT132" s="206">
        <v>9.4250000000000007</v>
      </c>
      <c r="AU132" s="206">
        <v>3.7250000000000001</v>
      </c>
      <c r="AV132" s="206">
        <v>19.475000000000001</v>
      </c>
      <c r="AW132" s="206">
        <v>19.475000000000001</v>
      </c>
      <c r="AX132" s="206">
        <v>1.675</v>
      </c>
      <c r="AY132" s="45"/>
      <c r="AZ132" s="240">
        <v>1663.6</v>
      </c>
      <c r="BA132" s="240">
        <v>1663.6</v>
      </c>
      <c r="BB132" s="241">
        <v>716.8</v>
      </c>
      <c r="BC132" s="206">
        <v>11.01</v>
      </c>
      <c r="BD132" s="206">
        <v>11.01</v>
      </c>
      <c r="BE132" s="206">
        <v>1.07</v>
      </c>
      <c r="BF132" s="206">
        <v>5.92</v>
      </c>
      <c r="BG132" s="206">
        <v>5.92</v>
      </c>
      <c r="BH132" s="206">
        <v>1.1399999999999999</v>
      </c>
      <c r="BI132" s="206">
        <v>17.739999999999998</v>
      </c>
      <c r="BJ132" s="206">
        <v>17.739999999999998</v>
      </c>
      <c r="BK132" s="253">
        <v>2.84</v>
      </c>
    </row>
    <row r="133" spans="1:63" x14ac:dyDescent="0.2">
      <c r="A133" s="224">
        <v>993.7</v>
      </c>
      <c r="B133" s="203"/>
      <c r="C133" s="204">
        <v>2293.5</v>
      </c>
      <c r="D133" s="212"/>
      <c r="E133" s="205">
        <v>1139</v>
      </c>
      <c r="F133" s="205">
        <v>3448</v>
      </c>
      <c r="G133" s="258">
        <v>21.4</v>
      </c>
      <c r="H133" s="208"/>
      <c r="I133" s="260">
        <v>18.2</v>
      </c>
      <c r="J133" s="260">
        <v>24.6</v>
      </c>
      <c r="K133" s="206">
        <v>17.149999999999999</v>
      </c>
      <c r="L133" s="207"/>
      <c r="M133" s="208">
        <v>12.9</v>
      </c>
      <c r="N133" s="208">
        <v>21.4</v>
      </c>
      <c r="O133" s="206">
        <v>25.05</v>
      </c>
      <c r="P133" s="207"/>
      <c r="Q133" s="209">
        <v>22.9</v>
      </c>
      <c r="R133" s="208">
        <v>27.2</v>
      </c>
      <c r="S133" s="45"/>
      <c r="T133" s="209">
        <v>1914</v>
      </c>
      <c r="U133" s="210"/>
      <c r="V133" s="210">
        <v>1007</v>
      </c>
      <c r="W133" s="210">
        <v>2821</v>
      </c>
      <c r="X133" s="206">
        <v>9</v>
      </c>
      <c r="Y133" s="208"/>
      <c r="Z133" s="207">
        <v>5.5</v>
      </c>
      <c r="AA133" s="207">
        <v>12.5</v>
      </c>
      <c r="AB133" s="206">
        <v>3.95</v>
      </c>
      <c r="AC133" s="207"/>
      <c r="AD133" s="208">
        <v>1</v>
      </c>
      <c r="AE133" s="208">
        <v>6.9</v>
      </c>
      <c r="AF133" s="206">
        <v>21.4</v>
      </c>
      <c r="AG133" s="211"/>
      <c r="AH133" s="207">
        <v>15.2</v>
      </c>
      <c r="AI133" s="225">
        <v>27.6</v>
      </c>
      <c r="AK133" s="252">
        <v>993.7</v>
      </c>
      <c r="AL133" s="45"/>
      <c r="AM133" s="204">
        <v>2304.1</v>
      </c>
      <c r="AN133" s="204"/>
      <c r="AO133" s="204">
        <v>1390.3</v>
      </c>
      <c r="AP133" s="206">
        <v>21.15</v>
      </c>
      <c r="AQ133" s="211"/>
      <c r="AR133" s="206">
        <v>3.35</v>
      </c>
      <c r="AS133" s="206">
        <v>12.425000000000001</v>
      </c>
      <c r="AT133" s="206"/>
      <c r="AU133" s="206">
        <v>1.7250000000000001</v>
      </c>
      <c r="AV133" s="206">
        <v>21.074999999999999</v>
      </c>
      <c r="AW133" s="206"/>
      <c r="AX133" s="206">
        <v>-0.27499999999999858</v>
      </c>
      <c r="AY133" s="45"/>
      <c r="AZ133" s="240">
        <v>1896.8</v>
      </c>
      <c r="BA133" s="240"/>
      <c r="BB133" s="241">
        <v>924.2</v>
      </c>
      <c r="BC133" s="206">
        <v>8.86</v>
      </c>
      <c r="BD133" s="211"/>
      <c r="BE133" s="206">
        <v>3.64</v>
      </c>
      <c r="BF133" s="206">
        <v>3.8250000000000002</v>
      </c>
      <c r="BG133" s="211"/>
      <c r="BH133" s="206">
        <v>3.1749999999999998</v>
      </c>
      <c r="BI133" s="206">
        <v>20.75</v>
      </c>
      <c r="BJ133" s="211"/>
      <c r="BK133" s="253">
        <v>6.93</v>
      </c>
    </row>
    <row r="134" spans="1:63" x14ac:dyDescent="0.2">
      <c r="A134" s="224">
        <v>993.99</v>
      </c>
      <c r="B134" s="203"/>
      <c r="C134" s="204">
        <v>1223.5</v>
      </c>
      <c r="D134" s="212"/>
      <c r="E134" s="205">
        <v>583</v>
      </c>
      <c r="F134" s="205">
        <v>1864</v>
      </c>
      <c r="G134" s="258">
        <v>18.399999999999999</v>
      </c>
      <c r="H134" s="208"/>
      <c r="I134" s="260">
        <v>12.9</v>
      </c>
      <c r="J134" s="260">
        <v>23.9</v>
      </c>
      <c r="K134" s="206">
        <v>13.2</v>
      </c>
      <c r="L134" s="207"/>
      <c r="M134" s="208">
        <v>7</v>
      </c>
      <c r="N134" s="208">
        <v>19.399999999999999</v>
      </c>
      <c r="O134" s="206">
        <v>22.7</v>
      </c>
      <c r="P134" s="207"/>
      <c r="Q134" s="209">
        <v>17.5</v>
      </c>
      <c r="R134" s="208">
        <v>27.9</v>
      </c>
      <c r="S134" s="45"/>
      <c r="T134" s="209">
        <v>2304</v>
      </c>
      <c r="U134" s="210"/>
      <c r="V134" s="210">
        <v>1007</v>
      </c>
      <c r="W134" s="210">
        <v>3601</v>
      </c>
      <c r="X134" s="206">
        <v>15.6</v>
      </c>
      <c r="Y134" s="208"/>
      <c r="Z134" s="207">
        <v>5.5</v>
      </c>
      <c r="AA134" s="207">
        <v>25.7</v>
      </c>
      <c r="AB134" s="206">
        <v>11.55</v>
      </c>
      <c r="AC134" s="207"/>
      <c r="AD134" s="208">
        <v>0</v>
      </c>
      <c r="AE134" s="208">
        <v>23.1</v>
      </c>
      <c r="AF134" s="206">
        <v>21.4</v>
      </c>
      <c r="AG134" s="211"/>
      <c r="AH134" s="207">
        <v>15.2</v>
      </c>
      <c r="AI134" s="225">
        <v>27.6</v>
      </c>
      <c r="AK134" s="252">
        <v>993.99</v>
      </c>
      <c r="AL134" s="45"/>
      <c r="AM134" s="204">
        <v>1545.1</v>
      </c>
      <c r="AN134" s="204"/>
      <c r="AO134" s="204">
        <v>964.2</v>
      </c>
      <c r="AP134" s="206">
        <v>18.114999999999998</v>
      </c>
      <c r="AQ134" s="211"/>
      <c r="AR134" s="206">
        <v>6.3250000000000002</v>
      </c>
      <c r="AS134" s="206">
        <v>13.23</v>
      </c>
      <c r="AT134" s="206"/>
      <c r="AU134" s="206">
        <v>7.25</v>
      </c>
      <c r="AV134" s="206">
        <v>22.52</v>
      </c>
      <c r="AW134" s="206"/>
      <c r="AX134" s="206">
        <v>5.38</v>
      </c>
      <c r="AY134" s="45"/>
      <c r="AZ134" s="240">
        <v>2448.5500000000002</v>
      </c>
      <c r="BA134" s="240"/>
      <c r="BB134" s="241">
        <v>1494.85</v>
      </c>
      <c r="BC134" s="206">
        <v>15.515000000000001</v>
      </c>
      <c r="BD134" s="211"/>
      <c r="BE134" s="206">
        <v>10.195</v>
      </c>
      <c r="BF134" s="206">
        <v>11.465</v>
      </c>
      <c r="BG134" s="211"/>
      <c r="BH134" s="206">
        <v>11.685</v>
      </c>
      <c r="BI134" s="206">
        <v>21.04</v>
      </c>
      <c r="BJ134" s="211"/>
      <c r="BK134" s="253">
        <v>6.6</v>
      </c>
    </row>
    <row r="135" spans="1:63" x14ac:dyDescent="0.2">
      <c r="A135" s="224">
        <v>994.26</v>
      </c>
      <c r="B135" s="203"/>
      <c r="C135" s="204">
        <v>1100.5</v>
      </c>
      <c r="D135" s="204">
        <v>1100.5</v>
      </c>
      <c r="E135" s="205">
        <v>583</v>
      </c>
      <c r="F135" s="205">
        <v>1618</v>
      </c>
      <c r="G135" s="258">
        <v>18</v>
      </c>
      <c r="H135" s="206">
        <v>18</v>
      </c>
      <c r="I135" s="260">
        <v>14.8</v>
      </c>
      <c r="J135" s="260">
        <v>21.2</v>
      </c>
      <c r="K135" s="206">
        <v>12.45</v>
      </c>
      <c r="L135" s="208">
        <v>12.1</v>
      </c>
      <c r="M135" s="208">
        <v>8.5</v>
      </c>
      <c r="N135" s="208">
        <v>16.399999999999999</v>
      </c>
      <c r="O135" s="206">
        <v>23.6</v>
      </c>
      <c r="P135" s="208">
        <v>23.6</v>
      </c>
      <c r="Q135" s="209">
        <v>19.3</v>
      </c>
      <c r="R135" s="208">
        <v>27.9</v>
      </c>
      <c r="S135" s="45"/>
      <c r="T135" s="209">
        <v>1854.5</v>
      </c>
      <c r="U135" s="209">
        <v>1854.5</v>
      </c>
      <c r="V135" s="210">
        <v>1223</v>
      </c>
      <c r="W135" s="210">
        <v>2486</v>
      </c>
      <c r="X135" s="206">
        <v>10.45</v>
      </c>
      <c r="Y135" s="206">
        <v>10.45</v>
      </c>
      <c r="Z135" s="207">
        <v>10.4</v>
      </c>
      <c r="AA135" s="207">
        <v>10.5</v>
      </c>
      <c r="AB135" s="206">
        <v>6</v>
      </c>
      <c r="AC135" s="206">
        <v>6</v>
      </c>
      <c r="AD135" s="208">
        <v>5.0999999999999996</v>
      </c>
      <c r="AE135" s="208">
        <v>6.9</v>
      </c>
      <c r="AF135" s="206">
        <v>14.8</v>
      </c>
      <c r="AG135" s="211">
        <v>14.8</v>
      </c>
      <c r="AH135" s="207">
        <v>14.4</v>
      </c>
      <c r="AI135" s="225">
        <v>15.2</v>
      </c>
      <c r="AK135" s="252">
        <v>994.26</v>
      </c>
      <c r="AL135" s="45"/>
      <c r="AM135" s="204">
        <v>1168.0999999999999</v>
      </c>
      <c r="AN135" s="204">
        <v>1168.0999999999999</v>
      </c>
      <c r="AO135" s="204">
        <v>449.9</v>
      </c>
      <c r="AP135" s="206">
        <v>16.760000000000002</v>
      </c>
      <c r="AQ135" s="206">
        <v>16.760000000000002</v>
      </c>
      <c r="AR135" s="206">
        <v>2.2799999999999998</v>
      </c>
      <c r="AS135" s="206">
        <v>11.22</v>
      </c>
      <c r="AT135" s="206">
        <v>11.22</v>
      </c>
      <c r="AU135" s="206">
        <v>3.28</v>
      </c>
      <c r="AV135" s="206">
        <v>22.25</v>
      </c>
      <c r="AW135" s="206">
        <v>22.25</v>
      </c>
      <c r="AX135" s="206">
        <v>2.95</v>
      </c>
      <c r="AY135" s="45"/>
      <c r="AZ135" s="240">
        <v>1779.5</v>
      </c>
      <c r="BA135" s="240">
        <v>1779.5</v>
      </c>
      <c r="BB135" s="241">
        <v>737.7</v>
      </c>
      <c r="BC135" s="206">
        <v>8.3800000000000008</v>
      </c>
      <c r="BD135" s="206">
        <v>8.3800000000000008</v>
      </c>
      <c r="BE135" s="206">
        <v>2.38</v>
      </c>
      <c r="BF135" s="206">
        <v>4.5149999999999997</v>
      </c>
      <c r="BG135" s="206">
        <v>4.5149999999999997</v>
      </c>
      <c r="BH135" s="206">
        <v>2.3849999999999998</v>
      </c>
      <c r="BI135" s="206">
        <v>12.805</v>
      </c>
      <c r="BJ135" s="206">
        <v>12.805</v>
      </c>
      <c r="BK135" s="253">
        <v>1.8049999999999999</v>
      </c>
    </row>
    <row r="136" spans="1:63" x14ac:dyDescent="0.2">
      <c r="A136" s="224">
        <v>994.46500000000003</v>
      </c>
      <c r="B136" s="203"/>
      <c r="C136" s="204">
        <v>1223.5</v>
      </c>
      <c r="D136" s="204">
        <v>1223.5</v>
      </c>
      <c r="E136" s="205">
        <v>583</v>
      </c>
      <c r="F136" s="205">
        <v>1864</v>
      </c>
      <c r="G136" s="258">
        <v>18.399999999999999</v>
      </c>
      <c r="H136" s="206">
        <v>18.399999999999999</v>
      </c>
      <c r="I136" s="260">
        <v>12.9</v>
      </c>
      <c r="J136" s="260">
        <v>23.9</v>
      </c>
      <c r="K136" s="206">
        <v>13.2</v>
      </c>
      <c r="L136" s="208">
        <v>13.2</v>
      </c>
      <c r="M136" s="208">
        <v>7</v>
      </c>
      <c r="N136" s="208">
        <v>19.399999999999999</v>
      </c>
      <c r="O136" s="206">
        <v>23.5</v>
      </c>
      <c r="P136" s="206">
        <v>23.5</v>
      </c>
      <c r="Q136" s="209">
        <v>19.8</v>
      </c>
      <c r="R136" s="208">
        <v>27.2</v>
      </c>
      <c r="S136" s="45"/>
      <c r="T136" s="209">
        <v>1527.5</v>
      </c>
      <c r="U136" s="209">
        <v>1527.5</v>
      </c>
      <c r="V136" s="210">
        <v>921</v>
      </c>
      <c r="W136" s="210">
        <v>2134</v>
      </c>
      <c r="X136" s="206">
        <v>10.45</v>
      </c>
      <c r="Y136" s="206">
        <v>10.45</v>
      </c>
      <c r="Z136" s="207">
        <v>10.4</v>
      </c>
      <c r="AA136" s="207">
        <v>10.5</v>
      </c>
      <c r="AB136" s="206">
        <v>6</v>
      </c>
      <c r="AC136" s="206">
        <v>6</v>
      </c>
      <c r="AD136" s="208">
        <v>5.0999999999999996</v>
      </c>
      <c r="AE136" s="208">
        <v>6.9</v>
      </c>
      <c r="AF136" s="206">
        <v>14.8</v>
      </c>
      <c r="AG136" s="206">
        <v>14.8</v>
      </c>
      <c r="AH136" s="207">
        <v>14.4</v>
      </c>
      <c r="AI136" s="225">
        <v>15.2</v>
      </c>
      <c r="AK136" s="252">
        <v>994.46500000000003</v>
      </c>
      <c r="AL136" s="45"/>
      <c r="AM136" s="204">
        <v>1276.0999999999999</v>
      </c>
      <c r="AN136" s="204">
        <v>1276.0999999999999</v>
      </c>
      <c r="AO136" s="204">
        <v>695.9</v>
      </c>
      <c r="AP136" s="206">
        <v>14.98</v>
      </c>
      <c r="AQ136" s="206">
        <v>14.98</v>
      </c>
      <c r="AR136" s="206">
        <v>3.52</v>
      </c>
      <c r="AS136" s="206">
        <v>10.7</v>
      </c>
      <c r="AT136" s="206">
        <v>10.7</v>
      </c>
      <c r="AU136" s="206">
        <v>3.7</v>
      </c>
      <c r="AV136" s="206">
        <v>20.25</v>
      </c>
      <c r="AW136" s="206">
        <v>20.25</v>
      </c>
      <c r="AX136" s="206">
        <v>1.83</v>
      </c>
      <c r="AY136" s="45"/>
      <c r="AZ136" s="240">
        <v>1664.9</v>
      </c>
      <c r="BA136" s="240">
        <v>1664.9</v>
      </c>
      <c r="BB136" s="241">
        <v>743.9</v>
      </c>
      <c r="BC136" s="206">
        <v>9.4350000000000005</v>
      </c>
      <c r="BD136" s="206">
        <v>9.4350000000000005</v>
      </c>
      <c r="BE136" s="206">
        <v>2.4350000000000001</v>
      </c>
      <c r="BF136" s="206">
        <v>4.6349999999999998</v>
      </c>
      <c r="BG136" s="206">
        <v>4.6349999999999998</v>
      </c>
      <c r="BH136" s="206">
        <v>2.4049999999999998</v>
      </c>
      <c r="BI136" s="206">
        <v>15.9</v>
      </c>
      <c r="BJ136" s="206">
        <v>15.9</v>
      </c>
      <c r="BK136" s="253">
        <v>2.62</v>
      </c>
    </row>
    <row r="137" spans="1:63" x14ac:dyDescent="0.2">
      <c r="A137" s="224">
        <v>994.86500000000001</v>
      </c>
      <c r="B137" s="203"/>
      <c r="C137" s="204">
        <v>1097</v>
      </c>
      <c r="D137" s="204">
        <v>1097</v>
      </c>
      <c r="E137" s="205">
        <v>576</v>
      </c>
      <c r="F137" s="205">
        <v>1618</v>
      </c>
      <c r="G137" s="258">
        <v>19.25</v>
      </c>
      <c r="H137" s="206">
        <v>19.25</v>
      </c>
      <c r="I137" s="260">
        <v>12.8</v>
      </c>
      <c r="J137" s="260">
        <v>25.7</v>
      </c>
      <c r="K137" s="206">
        <v>14.65</v>
      </c>
      <c r="L137" s="206">
        <v>14.65</v>
      </c>
      <c r="M137" s="208">
        <v>6.3</v>
      </c>
      <c r="N137" s="208">
        <v>23</v>
      </c>
      <c r="O137" s="206">
        <v>23.6</v>
      </c>
      <c r="P137" s="206">
        <v>23.6</v>
      </c>
      <c r="Q137" s="209">
        <v>19.3</v>
      </c>
      <c r="R137" s="208">
        <v>27.9</v>
      </c>
      <c r="S137" s="45"/>
      <c r="T137" s="209">
        <v>1452</v>
      </c>
      <c r="U137" s="209">
        <v>1452</v>
      </c>
      <c r="V137" s="210">
        <v>921</v>
      </c>
      <c r="W137" s="210">
        <v>1983</v>
      </c>
      <c r="X137" s="206">
        <v>10.1</v>
      </c>
      <c r="Y137" s="206">
        <v>10.1</v>
      </c>
      <c r="Z137" s="207">
        <v>9.8000000000000007</v>
      </c>
      <c r="AA137" s="207">
        <v>10.4</v>
      </c>
      <c r="AB137" s="206">
        <v>6</v>
      </c>
      <c r="AC137" s="206">
        <v>6</v>
      </c>
      <c r="AD137" s="208">
        <v>5.0999999999999996</v>
      </c>
      <c r="AE137" s="208">
        <v>6.9</v>
      </c>
      <c r="AF137" s="206">
        <v>14.8</v>
      </c>
      <c r="AG137" s="206">
        <v>14.8</v>
      </c>
      <c r="AH137" s="207">
        <v>14.4</v>
      </c>
      <c r="AI137" s="225">
        <v>15.2</v>
      </c>
      <c r="AK137" s="252">
        <v>994.86500000000001</v>
      </c>
      <c r="AL137" s="45"/>
      <c r="AM137" s="204">
        <v>1374.1</v>
      </c>
      <c r="AN137" s="204">
        <v>1374.1</v>
      </c>
      <c r="AO137" s="204">
        <v>591.1</v>
      </c>
      <c r="AP137" s="206">
        <v>16.149999999999999</v>
      </c>
      <c r="AQ137" s="206">
        <v>16.149999999999999</v>
      </c>
      <c r="AR137" s="206">
        <v>4.96</v>
      </c>
      <c r="AS137" s="206">
        <v>11.815</v>
      </c>
      <c r="AT137" s="206">
        <v>11.815</v>
      </c>
      <c r="AU137" s="206">
        <v>6.3550000000000004</v>
      </c>
      <c r="AV137" s="206">
        <v>19.440000000000001</v>
      </c>
      <c r="AW137" s="206">
        <v>19.440000000000001</v>
      </c>
      <c r="AX137" s="206">
        <v>4.41</v>
      </c>
      <c r="AY137" s="45"/>
      <c r="AZ137" s="240">
        <v>1577.75</v>
      </c>
      <c r="BA137" s="240">
        <v>1577.75</v>
      </c>
      <c r="BB137" s="241">
        <v>656.75</v>
      </c>
      <c r="BC137" s="206">
        <v>9.44</v>
      </c>
      <c r="BD137" s="206">
        <v>9.44</v>
      </c>
      <c r="BE137" s="206">
        <v>2.2200000000000002</v>
      </c>
      <c r="BF137" s="206">
        <v>5.94</v>
      </c>
      <c r="BG137" s="206">
        <v>5.94</v>
      </c>
      <c r="BH137" s="206">
        <v>1.08</v>
      </c>
      <c r="BI137" s="206">
        <v>17.34</v>
      </c>
      <c r="BJ137" s="206">
        <v>17.34</v>
      </c>
      <c r="BK137" s="253">
        <v>2.34</v>
      </c>
    </row>
    <row r="138" spans="1:63" x14ac:dyDescent="0.2">
      <c r="A138" s="224">
        <v>994.96500000000003</v>
      </c>
      <c r="B138" s="203"/>
      <c r="C138" s="204">
        <v>1100.5</v>
      </c>
      <c r="D138" s="204">
        <v>1100.5</v>
      </c>
      <c r="E138" s="205">
        <v>583</v>
      </c>
      <c r="F138" s="205">
        <v>1618</v>
      </c>
      <c r="G138" s="258">
        <v>19.7</v>
      </c>
      <c r="H138" s="206">
        <v>19.7</v>
      </c>
      <c r="I138" s="260">
        <v>14.8</v>
      </c>
      <c r="J138" s="260">
        <v>24.6</v>
      </c>
      <c r="K138" s="206">
        <v>14.95</v>
      </c>
      <c r="L138" s="208">
        <v>15</v>
      </c>
      <c r="M138" s="208">
        <v>8.5</v>
      </c>
      <c r="N138" s="208">
        <v>21.4</v>
      </c>
      <c r="O138" s="206">
        <v>23.5</v>
      </c>
      <c r="P138" s="206">
        <v>23.5</v>
      </c>
      <c r="Q138" s="209">
        <v>19.8</v>
      </c>
      <c r="R138" s="208">
        <v>27.2</v>
      </c>
      <c r="S138" s="45"/>
      <c r="T138" s="209">
        <v>1703.5</v>
      </c>
      <c r="U138" s="209">
        <v>1703.5</v>
      </c>
      <c r="V138" s="210">
        <v>921</v>
      </c>
      <c r="W138" s="210">
        <v>2486</v>
      </c>
      <c r="X138" s="206">
        <v>7.95</v>
      </c>
      <c r="Y138" s="206">
        <v>7.95</v>
      </c>
      <c r="Z138" s="207">
        <v>5.5</v>
      </c>
      <c r="AA138" s="207">
        <v>10.4</v>
      </c>
      <c r="AB138" s="206">
        <v>3.95</v>
      </c>
      <c r="AC138" s="206">
        <v>3.95</v>
      </c>
      <c r="AD138" s="208">
        <v>1</v>
      </c>
      <c r="AE138" s="208">
        <v>6.9</v>
      </c>
      <c r="AF138" s="206">
        <v>14.8</v>
      </c>
      <c r="AG138" s="211"/>
      <c r="AH138" s="207">
        <v>14.4</v>
      </c>
      <c r="AI138" s="225">
        <v>15.2</v>
      </c>
      <c r="AK138" s="252">
        <v>994.96500000000003</v>
      </c>
      <c r="AL138" s="45"/>
      <c r="AM138" s="204">
        <v>1402</v>
      </c>
      <c r="AN138" s="204">
        <v>1402</v>
      </c>
      <c r="AO138" s="204">
        <v>650</v>
      </c>
      <c r="AP138" s="206">
        <v>16.905000000000001</v>
      </c>
      <c r="AQ138" s="206">
        <v>16.905000000000001</v>
      </c>
      <c r="AR138" s="206">
        <v>3.4350000000000001</v>
      </c>
      <c r="AS138" s="206">
        <v>12.25</v>
      </c>
      <c r="AT138" s="206">
        <v>12.25</v>
      </c>
      <c r="AU138" s="206">
        <v>4.8</v>
      </c>
      <c r="AV138" s="206">
        <v>21.405000000000001</v>
      </c>
      <c r="AW138" s="206">
        <v>21.405000000000001</v>
      </c>
      <c r="AX138" s="206">
        <v>1.9550000000000001</v>
      </c>
      <c r="AY138" s="45"/>
      <c r="AZ138" s="240">
        <v>1770.5</v>
      </c>
      <c r="BA138" s="240">
        <v>1770.5</v>
      </c>
      <c r="BB138" s="241">
        <v>849.5</v>
      </c>
      <c r="BC138" s="206">
        <v>8.23</v>
      </c>
      <c r="BD138" s="206">
        <v>8.23</v>
      </c>
      <c r="BE138" s="206">
        <v>3.01</v>
      </c>
      <c r="BF138" s="206">
        <v>3.8250000000000002</v>
      </c>
      <c r="BG138" s="206">
        <v>3.8250000000000002</v>
      </c>
      <c r="BH138" s="206">
        <v>3.1749999999999998</v>
      </c>
      <c r="BI138" s="206">
        <v>15.744999999999999</v>
      </c>
      <c r="BJ138" s="211"/>
      <c r="BK138" s="253">
        <v>2.6150000000000002</v>
      </c>
    </row>
    <row r="139" spans="1:63" x14ac:dyDescent="0.2">
      <c r="A139" s="224">
        <v>996.81</v>
      </c>
      <c r="B139" s="203"/>
      <c r="C139" s="204">
        <v>1097</v>
      </c>
      <c r="D139" s="212"/>
      <c r="E139" s="205">
        <v>576</v>
      </c>
      <c r="F139" s="205">
        <v>1618</v>
      </c>
      <c r="G139" s="258">
        <v>19.25</v>
      </c>
      <c r="H139" s="208"/>
      <c r="I139" s="260">
        <v>12.8</v>
      </c>
      <c r="J139" s="260">
        <v>25.7</v>
      </c>
      <c r="K139" s="206">
        <v>14.65</v>
      </c>
      <c r="L139" s="207"/>
      <c r="M139" s="208">
        <v>6.3</v>
      </c>
      <c r="N139" s="208">
        <v>23</v>
      </c>
      <c r="O139" s="206">
        <v>23.6</v>
      </c>
      <c r="P139" s="207"/>
      <c r="Q139" s="209">
        <v>19.3</v>
      </c>
      <c r="R139" s="208">
        <v>27.9</v>
      </c>
      <c r="S139" s="45"/>
      <c r="T139" s="209">
        <v>1703.5</v>
      </c>
      <c r="U139" s="210"/>
      <c r="V139" s="210">
        <v>921</v>
      </c>
      <c r="W139" s="210">
        <v>2486</v>
      </c>
      <c r="X139" s="206">
        <v>7.95</v>
      </c>
      <c r="Y139" s="208"/>
      <c r="Z139" s="207">
        <v>5.5</v>
      </c>
      <c r="AA139" s="207">
        <v>10.4</v>
      </c>
      <c r="AB139" s="206">
        <v>3.95</v>
      </c>
      <c r="AC139" s="207"/>
      <c r="AD139" s="208">
        <v>1</v>
      </c>
      <c r="AE139" s="208">
        <v>6.9</v>
      </c>
      <c r="AF139" s="206">
        <v>14.8</v>
      </c>
      <c r="AG139" s="211"/>
      <c r="AH139" s="207">
        <v>14.4</v>
      </c>
      <c r="AI139" s="225">
        <v>15.2</v>
      </c>
      <c r="AK139" s="252">
        <v>996.81</v>
      </c>
      <c r="AL139" s="45"/>
      <c r="AM139" s="204">
        <v>1347.95</v>
      </c>
      <c r="AN139" s="204"/>
      <c r="AO139" s="204">
        <v>530.45000000000005</v>
      </c>
      <c r="AP139" s="206">
        <v>13.355</v>
      </c>
      <c r="AQ139" s="211"/>
      <c r="AR139" s="206">
        <v>1.635</v>
      </c>
      <c r="AS139" s="206">
        <v>8.61</v>
      </c>
      <c r="AT139" s="206"/>
      <c r="AU139" s="206">
        <v>3.12</v>
      </c>
      <c r="AV139" s="206">
        <v>17.96</v>
      </c>
      <c r="AW139" s="206"/>
      <c r="AX139" s="206">
        <v>0.48999999999999844</v>
      </c>
      <c r="AY139" s="45"/>
      <c r="AZ139" s="240">
        <v>1753.75</v>
      </c>
      <c r="BA139" s="240"/>
      <c r="BB139" s="241">
        <v>832.75</v>
      </c>
      <c r="BC139" s="206">
        <v>8.16</v>
      </c>
      <c r="BD139" s="211"/>
      <c r="BE139" s="206">
        <v>2.87</v>
      </c>
      <c r="BF139" s="206">
        <v>3.875</v>
      </c>
      <c r="BG139" s="211"/>
      <c r="BH139" s="206">
        <v>3.085</v>
      </c>
      <c r="BI139" s="206">
        <v>15.43</v>
      </c>
      <c r="BJ139" s="211"/>
      <c r="BK139" s="253">
        <v>1.61</v>
      </c>
    </row>
    <row r="140" spans="1:63" x14ac:dyDescent="0.2">
      <c r="A140" s="224">
        <v>997.01499999999999</v>
      </c>
      <c r="B140" s="203"/>
      <c r="C140" s="204">
        <v>1109</v>
      </c>
      <c r="D140" s="204">
        <v>1109</v>
      </c>
      <c r="E140" s="205">
        <v>583</v>
      </c>
      <c r="F140" s="205">
        <v>1635</v>
      </c>
      <c r="G140" s="258">
        <v>17.8</v>
      </c>
      <c r="H140" s="206">
        <v>17.8</v>
      </c>
      <c r="I140" s="260">
        <v>14.4</v>
      </c>
      <c r="J140" s="260">
        <v>21.2</v>
      </c>
      <c r="K140" s="206">
        <v>17.8</v>
      </c>
      <c r="L140" s="206">
        <v>17.8</v>
      </c>
      <c r="M140" s="208">
        <v>7.8</v>
      </c>
      <c r="N140" s="208">
        <v>16.399999999999999</v>
      </c>
      <c r="O140" s="206">
        <v>22.75</v>
      </c>
      <c r="P140" s="206">
        <v>22.75</v>
      </c>
      <c r="Q140" s="209">
        <v>17.600000000000001</v>
      </c>
      <c r="R140" s="208">
        <v>27.9</v>
      </c>
      <c r="S140" s="45"/>
      <c r="T140" s="209">
        <v>1678.5</v>
      </c>
      <c r="U140" s="209">
        <v>1678.5</v>
      </c>
      <c r="V140" s="210">
        <v>1223</v>
      </c>
      <c r="W140" s="210">
        <v>2134</v>
      </c>
      <c r="X140" s="206">
        <v>10.45</v>
      </c>
      <c r="Y140" s="208">
        <v>10.45</v>
      </c>
      <c r="Z140" s="207">
        <v>10.4</v>
      </c>
      <c r="AA140" s="207">
        <v>10.5</v>
      </c>
      <c r="AB140" s="206">
        <v>6</v>
      </c>
      <c r="AC140" s="207">
        <v>6</v>
      </c>
      <c r="AD140" s="208">
        <v>5.0999999999999996</v>
      </c>
      <c r="AE140" s="208">
        <v>6.9</v>
      </c>
      <c r="AF140" s="206">
        <v>14.8</v>
      </c>
      <c r="AG140" s="206">
        <v>14.8</v>
      </c>
      <c r="AH140" s="207">
        <v>14.4</v>
      </c>
      <c r="AI140" s="225">
        <v>15.2</v>
      </c>
      <c r="AK140" s="252">
        <v>997.01499999999999</v>
      </c>
      <c r="AL140" s="45"/>
      <c r="AM140" s="204">
        <v>1318.25</v>
      </c>
      <c r="AN140" s="204">
        <v>1318.25</v>
      </c>
      <c r="AO140" s="204">
        <v>566.25</v>
      </c>
      <c r="AP140" s="206">
        <v>15.19</v>
      </c>
      <c r="AQ140" s="206">
        <v>15.19</v>
      </c>
      <c r="AR140" s="206">
        <v>1.69</v>
      </c>
      <c r="AS140" s="206">
        <v>9.9600000000000009</v>
      </c>
      <c r="AT140" s="206">
        <v>9.9600000000000009</v>
      </c>
      <c r="AU140" s="206">
        <v>2.64</v>
      </c>
      <c r="AV140" s="206">
        <v>20.02</v>
      </c>
      <c r="AW140" s="206">
        <v>20.02</v>
      </c>
      <c r="AX140" s="206">
        <v>2.48</v>
      </c>
      <c r="AY140" s="45"/>
      <c r="AZ140" s="240">
        <v>1693.5</v>
      </c>
      <c r="BA140" s="240">
        <v>1693.5</v>
      </c>
      <c r="BB140" s="241">
        <v>651.70000000000005</v>
      </c>
      <c r="BC140" s="206">
        <v>8.84</v>
      </c>
      <c r="BD140" s="206">
        <v>8.84</v>
      </c>
      <c r="BE140" s="206">
        <v>1.84</v>
      </c>
      <c r="BF140" s="206">
        <v>4.8449999999999998</v>
      </c>
      <c r="BG140" s="206">
        <v>4.8449999999999998</v>
      </c>
      <c r="BH140" s="206">
        <v>2.0550000000000002</v>
      </c>
      <c r="BI140" s="206">
        <v>13.675000000000001</v>
      </c>
      <c r="BJ140" s="206">
        <v>13.675000000000001</v>
      </c>
      <c r="BK140" s="253">
        <v>0.875</v>
      </c>
    </row>
    <row r="141" spans="1:63" x14ac:dyDescent="0.2">
      <c r="A141" s="224">
        <v>997.21500000000003</v>
      </c>
      <c r="B141" s="203"/>
      <c r="C141" s="204">
        <v>1220</v>
      </c>
      <c r="D141" s="212"/>
      <c r="E141" s="205">
        <v>576</v>
      </c>
      <c r="F141" s="205">
        <v>1864</v>
      </c>
      <c r="G141" s="258">
        <v>16.55</v>
      </c>
      <c r="H141" s="208"/>
      <c r="I141" s="260">
        <v>9.1999999999999993</v>
      </c>
      <c r="J141" s="260">
        <v>23.9</v>
      </c>
      <c r="K141" s="206">
        <v>11.5</v>
      </c>
      <c r="L141" s="207"/>
      <c r="M141" s="208">
        <v>3.6</v>
      </c>
      <c r="N141" s="208">
        <v>19.399999999999999</v>
      </c>
      <c r="O141" s="206">
        <v>22.1</v>
      </c>
      <c r="P141" s="207"/>
      <c r="Q141" s="209">
        <v>16.3</v>
      </c>
      <c r="R141" s="208">
        <v>27.9</v>
      </c>
      <c r="S141" s="45"/>
      <c r="T141" s="209">
        <v>1746.5</v>
      </c>
      <c r="U141" s="209">
        <v>1746.5</v>
      </c>
      <c r="V141" s="210">
        <v>1007</v>
      </c>
      <c r="W141" s="210">
        <v>2486</v>
      </c>
      <c r="X141" s="206">
        <v>7.95</v>
      </c>
      <c r="Y141" s="208">
        <v>7.95</v>
      </c>
      <c r="Z141" s="207">
        <v>5.5</v>
      </c>
      <c r="AA141" s="207">
        <v>10.4</v>
      </c>
      <c r="AB141" s="206">
        <v>3.95</v>
      </c>
      <c r="AC141" s="207">
        <v>3.95</v>
      </c>
      <c r="AD141" s="208">
        <v>1</v>
      </c>
      <c r="AE141" s="208">
        <v>6.9</v>
      </c>
      <c r="AF141" s="206">
        <v>14.8</v>
      </c>
      <c r="AG141" s="206">
        <v>14.8</v>
      </c>
      <c r="AH141" s="207">
        <v>14.4</v>
      </c>
      <c r="AI141" s="225">
        <v>15.2</v>
      </c>
      <c r="AK141" s="252">
        <v>997.21500000000003</v>
      </c>
      <c r="AL141" s="45"/>
      <c r="AM141" s="204">
        <v>1420.2</v>
      </c>
      <c r="AN141" s="204"/>
      <c r="AO141" s="204">
        <v>568.20000000000005</v>
      </c>
      <c r="AP141" s="206">
        <v>10.57</v>
      </c>
      <c r="AQ141" s="211"/>
      <c r="AR141" s="206">
        <v>2.5299999999999998</v>
      </c>
      <c r="AS141" s="206">
        <v>6.1</v>
      </c>
      <c r="AT141" s="206"/>
      <c r="AU141" s="206">
        <v>3.3</v>
      </c>
      <c r="AV141" s="206">
        <v>16.39</v>
      </c>
      <c r="AW141" s="206"/>
      <c r="AX141" s="206">
        <v>0.71000000000000085</v>
      </c>
      <c r="AY141" s="45"/>
      <c r="AZ141" s="240">
        <v>1808.75</v>
      </c>
      <c r="BA141" s="240">
        <v>1808.75</v>
      </c>
      <c r="BB141" s="241">
        <v>844.75</v>
      </c>
      <c r="BC141" s="206">
        <v>8.3699999999999992</v>
      </c>
      <c r="BD141" s="206">
        <v>8.3699999999999992</v>
      </c>
      <c r="BE141" s="206">
        <v>3.29</v>
      </c>
      <c r="BF141" s="206">
        <v>3.95</v>
      </c>
      <c r="BG141" s="206">
        <v>3.95</v>
      </c>
      <c r="BH141" s="206">
        <v>3.07</v>
      </c>
      <c r="BI141" s="206">
        <v>15.18</v>
      </c>
      <c r="BJ141" s="206">
        <v>15.18</v>
      </c>
      <c r="BK141" s="253">
        <v>2.74</v>
      </c>
    </row>
    <row r="142" spans="1:63" x14ac:dyDescent="0.2">
      <c r="A142" s="224">
        <v>997.41499999999996</v>
      </c>
      <c r="B142" s="203"/>
      <c r="C142" s="204">
        <v>1100.5</v>
      </c>
      <c r="D142" s="204">
        <v>1100.5</v>
      </c>
      <c r="E142" s="205">
        <v>583</v>
      </c>
      <c r="F142" s="205">
        <v>1618</v>
      </c>
      <c r="G142" s="258">
        <v>18.399999999999999</v>
      </c>
      <c r="H142" s="208">
        <v>18.399999999999999</v>
      </c>
      <c r="I142" s="260">
        <v>12.9</v>
      </c>
      <c r="J142" s="260">
        <v>23.9</v>
      </c>
      <c r="K142" s="206">
        <v>13.2</v>
      </c>
      <c r="L142" s="208">
        <v>13.2</v>
      </c>
      <c r="M142" s="208">
        <v>7</v>
      </c>
      <c r="N142" s="208">
        <v>19.399999999999999</v>
      </c>
      <c r="O142" s="206">
        <v>23.6</v>
      </c>
      <c r="P142" s="206">
        <v>23.6</v>
      </c>
      <c r="Q142" s="209">
        <v>19.3</v>
      </c>
      <c r="R142" s="208">
        <v>27.9</v>
      </c>
      <c r="S142" s="45"/>
      <c r="T142" s="209">
        <v>1678.5</v>
      </c>
      <c r="U142" s="209">
        <v>1678.5</v>
      </c>
      <c r="V142" s="210">
        <v>1223</v>
      </c>
      <c r="W142" s="210">
        <v>2134</v>
      </c>
      <c r="X142" s="206">
        <v>10.45</v>
      </c>
      <c r="Y142" s="208">
        <v>10.45</v>
      </c>
      <c r="Z142" s="207">
        <v>10.4</v>
      </c>
      <c r="AA142" s="207">
        <v>10.5</v>
      </c>
      <c r="AB142" s="206">
        <v>6</v>
      </c>
      <c r="AC142" s="207">
        <v>6</v>
      </c>
      <c r="AD142" s="208">
        <v>5.0999999999999996</v>
      </c>
      <c r="AE142" s="208">
        <v>6.9</v>
      </c>
      <c r="AF142" s="206">
        <v>14.8</v>
      </c>
      <c r="AG142" s="206">
        <v>14.8</v>
      </c>
      <c r="AH142" s="207">
        <v>14.4</v>
      </c>
      <c r="AI142" s="225">
        <v>15.2</v>
      </c>
      <c r="AK142" s="252">
        <v>997.41499999999996</v>
      </c>
      <c r="AL142" s="45"/>
      <c r="AM142" s="204">
        <v>1134.3</v>
      </c>
      <c r="AN142" s="204">
        <v>1134.3</v>
      </c>
      <c r="AO142" s="204">
        <v>483.7</v>
      </c>
      <c r="AP142" s="206">
        <v>17.010000000000002</v>
      </c>
      <c r="AQ142" s="206">
        <v>17.010000000000002</v>
      </c>
      <c r="AR142" s="206">
        <v>4.1900000000000004</v>
      </c>
      <c r="AS142" s="206">
        <v>11.67</v>
      </c>
      <c r="AT142" s="206">
        <v>11.67</v>
      </c>
      <c r="AU142" s="206">
        <v>5.23</v>
      </c>
      <c r="AV142" s="206">
        <v>22.25</v>
      </c>
      <c r="AW142" s="206">
        <v>22.25</v>
      </c>
      <c r="AX142" s="206">
        <v>2.95</v>
      </c>
      <c r="AY142" s="45"/>
      <c r="AZ142" s="240">
        <v>1739.7</v>
      </c>
      <c r="BA142" s="240">
        <v>1739.7</v>
      </c>
      <c r="BB142" s="241">
        <v>711.1</v>
      </c>
      <c r="BC142" s="206">
        <v>8.3800000000000008</v>
      </c>
      <c r="BD142" s="206">
        <v>8.3800000000000008</v>
      </c>
      <c r="BE142" s="206">
        <v>2.38</v>
      </c>
      <c r="BF142" s="206">
        <v>4.5149999999999997</v>
      </c>
      <c r="BG142" s="206">
        <v>4.5149999999999997</v>
      </c>
      <c r="BH142" s="206">
        <v>2.3849999999999998</v>
      </c>
      <c r="BI142" s="206">
        <v>13.225</v>
      </c>
      <c r="BJ142" s="211">
        <v>13.225</v>
      </c>
      <c r="BK142" s="253">
        <v>1.385</v>
      </c>
    </row>
    <row r="143" spans="1:63" x14ac:dyDescent="0.2">
      <c r="A143" s="224">
        <v>997.61500000000001</v>
      </c>
      <c r="B143" s="203"/>
      <c r="C143" s="204">
        <v>1358.5</v>
      </c>
      <c r="D143" s="204">
        <v>1358.5</v>
      </c>
      <c r="E143" s="205">
        <v>583</v>
      </c>
      <c r="F143" s="205">
        <v>2134</v>
      </c>
      <c r="G143" s="258">
        <v>18.75</v>
      </c>
      <c r="H143" s="206">
        <v>18.75</v>
      </c>
      <c r="I143" s="260">
        <v>12.9</v>
      </c>
      <c r="J143" s="260">
        <v>24.6</v>
      </c>
      <c r="K143" s="206">
        <v>14.2</v>
      </c>
      <c r="L143" s="206">
        <v>14.2</v>
      </c>
      <c r="M143" s="208">
        <v>7</v>
      </c>
      <c r="N143" s="208">
        <v>21.4</v>
      </c>
      <c r="O143" s="206">
        <v>23.5</v>
      </c>
      <c r="P143" s="206">
        <v>23.5</v>
      </c>
      <c r="Q143" s="209">
        <v>19.8</v>
      </c>
      <c r="R143" s="208">
        <v>27.2</v>
      </c>
      <c r="S143" s="45"/>
      <c r="T143" s="209">
        <v>1527.5</v>
      </c>
      <c r="U143" s="209">
        <v>1527.5</v>
      </c>
      <c r="V143" s="210">
        <v>921</v>
      </c>
      <c r="W143" s="210">
        <v>2134</v>
      </c>
      <c r="X143" s="206">
        <v>10.45</v>
      </c>
      <c r="Y143" s="208">
        <v>10.45</v>
      </c>
      <c r="Z143" s="207">
        <v>10.4</v>
      </c>
      <c r="AA143" s="207">
        <v>10.5</v>
      </c>
      <c r="AB143" s="206">
        <v>6</v>
      </c>
      <c r="AC143" s="207">
        <v>6</v>
      </c>
      <c r="AD143" s="208">
        <v>5.0999999999999996</v>
      </c>
      <c r="AE143" s="208">
        <v>6.9</v>
      </c>
      <c r="AF143" s="206">
        <v>14.8</v>
      </c>
      <c r="AG143" s="206">
        <v>14.8</v>
      </c>
      <c r="AH143" s="207">
        <v>14.4</v>
      </c>
      <c r="AI143" s="225">
        <v>15.2</v>
      </c>
      <c r="AK143" s="252">
        <v>997.61500000000001</v>
      </c>
      <c r="AL143" s="45"/>
      <c r="AM143" s="204">
        <v>1531</v>
      </c>
      <c r="AN143" s="204">
        <v>1531</v>
      </c>
      <c r="AO143" s="204">
        <v>779</v>
      </c>
      <c r="AP143" s="206">
        <v>15.19</v>
      </c>
      <c r="AQ143" s="206">
        <v>15.19</v>
      </c>
      <c r="AR143" s="206">
        <v>3.73</v>
      </c>
      <c r="AS143" s="206">
        <v>11.3</v>
      </c>
      <c r="AT143" s="206">
        <v>11.3</v>
      </c>
      <c r="AU143" s="206">
        <v>4.3</v>
      </c>
      <c r="AV143" s="206">
        <v>20.25</v>
      </c>
      <c r="AW143" s="206">
        <v>20.25</v>
      </c>
      <c r="AX143" s="206">
        <v>1.83</v>
      </c>
      <c r="AY143" s="45"/>
      <c r="AZ143" s="240">
        <v>1615.5</v>
      </c>
      <c r="BA143" s="240">
        <v>1615.5</v>
      </c>
      <c r="BB143" s="241">
        <v>694.5</v>
      </c>
      <c r="BC143" s="206">
        <v>9.58</v>
      </c>
      <c r="BD143" s="206">
        <v>9.58</v>
      </c>
      <c r="BE143" s="206">
        <v>2.08</v>
      </c>
      <c r="BF143" s="206">
        <v>4.83</v>
      </c>
      <c r="BG143" s="206">
        <v>4.83</v>
      </c>
      <c r="BH143" s="206">
        <v>2.19</v>
      </c>
      <c r="BI143" s="206">
        <v>15.6</v>
      </c>
      <c r="BJ143" s="206">
        <v>15.6</v>
      </c>
      <c r="BK143" s="253">
        <v>2.3199999999999998</v>
      </c>
    </row>
    <row r="144" spans="1:63" x14ac:dyDescent="0.2">
      <c r="A144" s="224">
        <v>997.80499999999995</v>
      </c>
      <c r="B144" s="203"/>
      <c r="C144" s="204">
        <v>2528.5</v>
      </c>
      <c r="D144" s="212"/>
      <c r="E144" s="205">
        <v>1042</v>
      </c>
      <c r="F144" s="205">
        <v>4015</v>
      </c>
      <c r="G144" s="258">
        <v>20.9</v>
      </c>
      <c r="H144" s="208"/>
      <c r="I144" s="260">
        <v>18</v>
      </c>
      <c r="J144" s="260">
        <v>23.8</v>
      </c>
      <c r="K144" s="206">
        <v>17.3</v>
      </c>
      <c r="L144" s="207"/>
      <c r="M144" s="208">
        <v>14.1</v>
      </c>
      <c r="N144" s="208">
        <v>20.5</v>
      </c>
      <c r="O144" s="206">
        <v>23.9</v>
      </c>
      <c r="P144" s="207"/>
      <c r="Q144" s="209">
        <v>21.2</v>
      </c>
      <c r="R144" s="208">
        <v>26.6</v>
      </c>
      <c r="S144" s="45"/>
      <c r="T144" s="209">
        <v>1703.5</v>
      </c>
      <c r="U144" s="210"/>
      <c r="V144" s="210">
        <v>921</v>
      </c>
      <c r="W144" s="210">
        <v>2486</v>
      </c>
      <c r="X144" s="206">
        <v>7.95</v>
      </c>
      <c r="Y144" s="208"/>
      <c r="Z144" s="207">
        <v>5.5</v>
      </c>
      <c r="AA144" s="207">
        <v>10.4</v>
      </c>
      <c r="AB144" s="206">
        <v>3.95</v>
      </c>
      <c r="AC144" s="207"/>
      <c r="AD144" s="208">
        <v>1</v>
      </c>
      <c r="AE144" s="208">
        <v>6.9</v>
      </c>
      <c r="AF144" s="206">
        <v>14.8</v>
      </c>
      <c r="AG144" s="211"/>
      <c r="AH144" s="207">
        <v>14.4</v>
      </c>
      <c r="AI144" s="225">
        <v>15.2</v>
      </c>
      <c r="AK144" s="252">
        <v>997.80499999999995</v>
      </c>
      <c r="AL144" s="45"/>
      <c r="AM144" s="204">
        <v>2045.6</v>
      </c>
      <c r="AN144" s="204"/>
      <c r="AO144" s="204">
        <v>1052</v>
      </c>
      <c r="AP144" s="206">
        <v>16.274999999999999</v>
      </c>
      <c r="AQ144" s="211"/>
      <c r="AR144" s="206">
        <v>0.82499999999999929</v>
      </c>
      <c r="AS144" s="206">
        <v>12.125</v>
      </c>
      <c r="AT144" s="206"/>
      <c r="AU144" s="206">
        <v>1.575</v>
      </c>
      <c r="AV144" s="206">
        <v>19.5</v>
      </c>
      <c r="AW144" s="206"/>
      <c r="AX144" s="206">
        <v>-0.21999999999999886</v>
      </c>
      <c r="AY144" s="45"/>
      <c r="AZ144" s="240">
        <v>1787.25</v>
      </c>
      <c r="BA144" s="240"/>
      <c r="BB144" s="241">
        <v>866.25</v>
      </c>
      <c r="BC144" s="206">
        <v>8.3000000000000007</v>
      </c>
      <c r="BD144" s="211"/>
      <c r="BE144" s="206">
        <v>3.15</v>
      </c>
      <c r="BF144" s="206">
        <v>3.8250000000000002</v>
      </c>
      <c r="BG144" s="211"/>
      <c r="BH144" s="206">
        <v>3.1749999999999998</v>
      </c>
      <c r="BI144" s="206">
        <v>15.31</v>
      </c>
      <c r="BJ144" s="211"/>
      <c r="BK144" s="253">
        <v>2.1800000000000002</v>
      </c>
    </row>
    <row r="145" spans="1:63" x14ac:dyDescent="0.2">
      <c r="A145" s="224">
        <v>998.17499999999995</v>
      </c>
      <c r="B145" s="203"/>
      <c r="C145" s="204">
        <v>1097</v>
      </c>
      <c r="D145" s="212"/>
      <c r="E145" s="205">
        <v>576</v>
      </c>
      <c r="F145" s="205">
        <v>1618</v>
      </c>
      <c r="G145" s="258">
        <v>19.7</v>
      </c>
      <c r="H145" s="208"/>
      <c r="I145" s="260">
        <v>18.2</v>
      </c>
      <c r="J145" s="260">
        <v>21.2</v>
      </c>
      <c r="K145" s="206">
        <v>14.65</v>
      </c>
      <c r="L145" s="207"/>
      <c r="M145" s="208">
        <v>12.9</v>
      </c>
      <c r="N145" s="208">
        <v>16.399999999999999</v>
      </c>
      <c r="O145" s="206">
        <v>25.4</v>
      </c>
      <c r="P145" s="207"/>
      <c r="Q145" s="209">
        <v>22.9</v>
      </c>
      <c r="R145" s="208">
        <v>27.9</v>
      </c>
      <c r="S145" s="45"/>
      <c r="T145" s="209">
        <v>1603</v>
      </c>
      <c r="U145" s="210"/>
      <c r="V145" s="210">
        <v>1223</v>
      </c>
      <c r="W145" s="210">
        <v>1983</v>
      </c>
      <c r="X145" s="206">
        <v>10.1</v>
      </c>
      <c r="Y145" s="208"/>
      <c r="Z145" s="207">
        <v>9.8000000000000007</v>
      </c>
      <c r="AA145" s="207">
        <v>10.4</v>
      </c>
      <c r="AB145" s="206">
        <v>5.8</v>
      </c>
      <c r="AC145" s="207"/>
      <c r="AD145" s="208">
        <v>4.7</v>
      </c>
      <c r="AE145" s="208">
        <v>6.9</v>
      </c>
      <c r="AF145" s="206">
        <v>14.8</v>
      </c>
      <c r="AG145" s="211"/>
      <c r="AH145" s="207">
        <v>14.4</v>
      </c>
      <c r="AI145" s="225">
        <v>15.2</v>
      </c>
      <c r="AK145" s="252">
        <v>998.17499999999995</v>
      </c>
      <c r="AL145" s="45"/>
      <c r="AM145" s="204">
        <v>1187.5</v>
      </c>
      <c r="AN145" s="204"/>
      <c r="AO145" s="204">
        <v>439</v>
      </c>
      <c r="AP145" s="206">
        <v>16.05</v>
      </c>
      <c r="AQ145" s="211"/>
      <c r="AR145" s="206">
        <v>-0.25</v>
      </c>
      <c r="AS145" s="206">
        <v>11</v>
      </c>
      <c r="AT145" s="206"/>
      <c r="AU145" s="206">
        <v>0.65</v>
      </c>
      <c r="AV145" s="206">
        <v>21.125</v>
      </c>
      <c r="AW145" s="206"/>
      <c r="AX145" s="206">
        <v>2.4999999999998579E-2</v>
      </c>
      <c r="AY145" s="45"/>
      <c r="AZ145" s="240">
        <v>1663.3</v>
      </c>
      <c r="BA145" s="240"/>
      <c r="BB145" s="241">
        <v>621.5</v>
      </c>
      <c r="BC145" s="206">
        <v>8.93</v>
      </c>
      <c r="BD145" s="211"/>
      <c r="BE145" s="206">
        <v>1.71</v>
      </c>
      <c r="BF145" s="206">
        <v>4.93</v>
      </c>
      <c r="BG145" s="211"/>
      <c r="BH145" s="206">
        <v>1.97</v>
      </c>
      <c r="BI145" s="206">
        <v>14.76</v>
      </c>
      <c r="BJ145" s="211"/>
      <c r="BK145" s="253">
        <v>-0.24</v>
      </c>
    </row>
    <row r="146" spans="1:63" x14ac:dyDescent="0.2">
      <c r="A146" s="224">
        <v>998.375</v>
      </c>
      <c r="B146" s="203"/>
      <c r="C146" s="204">
        <v>2831</v>
      </c>
      <c r="D146" s="212"/>
      <c r="E146" s="205">
        <v>576</v>
      </c>
      <c r="F146" s="205">
        <v>5086</v>
      </c>
      <c r="G146" s="258">
        <v>17.45</v>
      </c>
      <c r="H146" s="208"/>
      <c r="I146" s="260">
        <v>9.1999999999999993</v>
      </c>
      <c r="J146" s="260">
        <v>25.7</v>
      </c>
      <c r="K146" s="206">
        <v>13.3</v>
      </c>
      <c r="L146" s="207"/>
      <c r="M146" s="208">
        <v>3.6</v>
      </c>
      <c r="N146" s="208">
        <v>23</v>
      </c>
      <c r="O146" s="206">
        <v>20.55</v>
      </c>
      <c r="P146" s="207"/>
      <c r="Q146" s="209">
        <v>13.2</v>
      </c>
      <c r="R146" s="208">
        <v>27.9</v>
      </c>
      <c r="S146" s="45"/>
      <c r="T146" s="209">
        <v>1703.5</v>
      </c>
      <c r="U146" s="210"/>
      <c r="V146" s="210">
        <v>921</v>
      </c>
      <c r="W146" s="210">
        <v>2486</v>
      </c>
      <c r="X146" s="206">
        <v>7.95</v>
      </c>
      <c r="Y146" s="208"/>
      <c r="Z146" s="207">
        <v>5.5</v>
      </c>
      <c r="AA146" s="207">
        <v>10.4</v>
      </c>
      <c r="AB146" s="206">
        <v>3.95</v>
      </c>
      <c r="AC146" s="207"/>
      <c r="AD146" s="208">
        <v>1</v>
      </c>
      <c r="AE146" s="208">
        <v>6.9</v>
      </c>
      <c r="AF146" s="206">
        <v>14.8</v>
      </c>
      <c r="AG146" s="211"/>
      <c r="AH146" s="207">
        <v>14.4</v>
      </c>
      <c r="AI146" s="225">
        <v>15.2</v>
      </c>
      <c r="AK146" s="252">
        <v>998.375</v>
      </c>
      <c r="AL146" s="45"/>
      <c r="AM146" s="204">
        <v>1929</v>
      </c>
      <c r="AN146" s="204"/>
      <c r="AO146" s="204">
        <v>1077</v>
      </c>
      <c r="AP146" s="206">
        <v>11.33</v>
      </c>
      <c r="AQ146" s="211"/>
      <c r="AR146" s="206">
        <v>2.13</v>
      </c>
      <c r="AS146" s="206">
        <v>6.86</v>
      </c>
      <c r="AT146" s="206"/>
      <c r="AU146" s="206">
        <v>3.26</v>
      </c>
      <c r="AV146" s="206">
        <v>15.15</v>
      </c>
      <c r="AW146" s="206"/>
      <c r="AX146" s="206">
        <v>1.95</v>
      </c>
      <c r="AY146" s="45"/>
      <c r="AZ146" s="240">
        <v>1787.25</v>
      </c>
      <c r="BA146" s="240"/>
      <c r="BB146" s="241">
        <v>866.25</v>
      </c>
      <c r="BC146" s="206">
        <v>8.3000000000000007</v>
      </c>
      <c r="BD146" s="211"/>
      <c r="BE146" s="206">
        <v>3.15</v>
      </c>
      <c r="BF146" s="206">
        <v>3.8250000000000002</v>
      </c>
      <c r="BG146" s="211"/>
      <c r="BH146" s="206">
        <v>3.1749999999999998</v>
      </c>
      <c r="BI146" s="206">
        <v>15.31</v>
      </c>
      <c r="BJ146" s="211"/>
      <c r="BK146" s="253">
        <v>2.1800000000000002</v>
      </c>
    </row>
    <row r="147" spans="1:63" x14ac:dyDescent="0.2">
      <c r="A147" s="224">
        <v>998.57500000000005</v>
      </c>
      <c r="B147" s="203"/>
      <c r="C147" s="204">
        <v>1223.5</v>
      </c>
      <c r="D147" s="212"/>
      <c r="E147" s="205">
        <v>583</v>
      </c>
      <c r="F147" s="205">
        <v>1864</v>
      </c>
      <c r="G147" s="258">
        <v>18.399999999999999</v>
      </c>
      <c r="H147" s="208"/>
      <c r="I147" s="260">
        <v>12.9</v>
      </c>
      <c r="J147" s="260">
        <v>23.9</v>
      </c>
      <c r="K147" s="206">
        <v>13.2</v>
      </c>
      <c r="L147" s="207"/>
      <c r="M147" s="208">
        <v>7</v>
      </c>
      <c r="N147" s="208">
        <v>19.399999999999999</v>
      </c>
      <c r="O147" s="206">
        <v>22.7</v>
      </c>
      <c r="P147" s="207"/>
      <c r="Q147" s="209">
        <v>17.5</v>
      </c>
      <c r="R147" s="208">
        <v>27.9</v>
      </c>
      <c r="S147" s="45"/>
      <c r="T147" s="209">
        <v>1678.5</v>
      </c>
      <c r="U147" s="210"/>
      <c r="V147" s="210">
        <v>1223</v>
      </c>
      <c r="W147" s="210">
        <v>2134</v>
      </c>
      <c r="X147" s="206">
        <v>10.45</v>
      </c>
      <c r="Y147" s="208"/>
      <c r="Z147" s="207">
        <v>10.4</v>
      </c>
      <c r="AA147" s="207">
        <v>10.5</v>
      </c>
      <c r="AB147" s="206">
        <v>6</v>
      </c>
      <c r="AC147" s="207"/>
      <c r="AD147" s="208">
        <v>5.0999999999999996</v>
      </c>
      <c r="AE147" s="208">
        <v>6.9</v>
      </c>
      <c r="AF147" s="206">
        <v>14.8</v>
      </c>
      <c r="AG147" s="211"/>
      <c r="AH147" s="207">
        <v>14.4</v>
      </c>
      <c r="AI147" s="225">
        <v>15.2</v>
      </c>
      <c r="AK147" s="252">
        <v>998.57500000000005</v>
      </c>
      <c r="AL147" s="45"/>
      <c r="AM147" s="204">
        <v>1375.5</v>
      </c>
      <c r="AN147" s="204"/>
      <c r="AO147" s="204">
        <v>623.5</v>
      </c>
      <c r="AP147" s="206">
        <v>14.425000000000001</v>
      </c>
      <c r="AQ147" s="211"/>
      <c r="AR147" s="206">
        <v>2.7250000000000001</v>
      </c>
      <c r="AS147" s="206">
        <v>9.6</v>
      </c>
      <c r="AT147" s="206"/>
      <c r="AU147" s="206">
        <v>3.55</v>
      </c>
      <c r="AV147" s="206">
        <v>19.024999999999999</v>
      </c>
      <c r="AW147" s="206"/>
      <c r="AX147" s="206">
        <v>2.125</v>
      </c>
      <c r="AY147" s="45"/>
      <c r="AZ147" s="240">
        <v>1693.5</v>
      </c>
      <c r="BA147" s="240"/>
      <c r="BB147" s="241">
        <v>651.70000000000005</v>
      </c>
      <c r="BC147" s="206">
        <v>9.07</v>
      </c>
      <c r="BD147" s="211"/>
      <c r="BE147" s="206">
        <v>1.57</v>
      </c>
      <c r="BF147" s="206">
        <v>5.01</v>
      </c>
      <c r="BG147" s="211"/>
      <c r="BH147" s="206">
        <v>1.89</v>
      </c>
      <c r="BI147" s="206">
        <v>13.9</v>
      </c>
      <c r="BJ147" s="211"/>
      <c r="BK147" s="253">
        <v>0.62000000000000099</v>
      </c>
    </row>
    <row r="148" spans="1:63" x14ac:dyDescent="0.2">
      <c r="A148" s="224">
        <v>998.77499999999998</v>
      </c>
      <c r="B148" s="203"/>
      <c r="C148" s="204">
        <v>1100.5</v>
      </c>
      <c r="D148" s="212"/>
      <c r="E148" s="205">
        <v>583</v>
      </c>
      <c r="F148" s="205">
        <v>1618</v>
      </c>
      <c r="G148" s="258">
        <v>18.399999999999999</v>
      </c>
      <c r="H148" s="208"/>
      <c r="I148" s="260">
        <v>12.9</v>
      </c>
      <c r="J148" s="260">
        <v>23.9</v>
      </c>
      <c r="K148" s="206">
        <v>13.2</v>
      </c>
      <c r="L148" s="207"/>
      <c r="M148" s="208">
        <v>7</v>
      </c>
      <c r="N148" s="208">
        <v>19.399999999999999</v>
      </c>
      <c r="O148" s="206">
        <v>23.6</v>
      </c>
      <c r="P148" s="207"/>
      <c r="Q148" s="209">
        <v>19.3</v>
      </c>
      <c r="R148" s="208">
        <v>27.9</v>
      </c>
      <c r="S148" s="45"/>
      <c r="T148" s="209">
        <v>1527.5</v>
      </c>
      <c r="U148" s="210"/>
      <c r="V148" s="210">
        <v>921</v>
      </c>
      <c r="W148" s="210">
        <v>2134</v>
      </c>
      <c r="X148" s="206">
        <v>11.5</v>
      </c>
      <c r="Y148" s="208"/>
      <c r="Z148" s="207">
        <v>10.5</v>
      </c>
      <c r="AA148" s="207">
        <v>12.5</v>
      </c>
      <c r="AB148" s="206">
        <v>6.1</v>
      </c>
      <c r="AC148" s="207"/>
      <c r="AD148" s="208">
        <v>5.0999999999999996</v>
      </c>
      <c r="AE148" s="208">
        <v>7.1</v>
      </c>
      <c r="AF148" s="206">
        <v>21.4</v>
      </c>
      <c r="AG148" s="211"/>
      <c r="AH148" s="207">
        <v>15.2</v>
      </c>
      <c r="AI148" s="225">
        <v>27.6</v>
      </c>
      <c r="AK148" s="252">
        <v>998.77499999999998</v>
      </c>
      <c r="AL148" s="45"/>
      <c r="AM148" s="204">
        <v>1172.2</v>
      </c>
      <c r="AN148" s="204"/>
      <c r="AO148" s="204">
        <v>593.4</v>
      </c>
      <c r="AP148" s="206">
        <v>18.91</v>
      </c>
      <c r="AQ148" s="211"/>
      <c r="AR148" s="206">
        <v>6.07</v>
      </c>
      <c r="AS148" s="206">
        <v>14.07</v>
      </c>
      <c r="AT148" s="206"/>
      <c r="AU148" s="206">
        <v>7.49</v>
      </c>
      <c r="AV148" s="206">
        <v>23.06</v>
      </c>
      <c r="AW148" s="206"/>
      <c r="AX148" s="206">
        <v>4.84</v>
      </c>
      <c r="AY148" s="45"/>
      <c r="AZ148" s="240">
        <v>1630.55</v>
      </c>
      <c r="BA148" s="240"/>
      <c r="BB148" s="241">
        <v>709.55</v>
      </c>
      <c r="BC148" s="206">
        <v>10.75</v>
      </c>
      <c r="BD148" s="211"/>
      <c r="BE148" s="206">
        <v>1.75</v>
      </c>
      <c r="BF148" s="206">
        <v>5.38</v>
      </c>
      <c r="BG148" s="211"/>
      <c r="BH148" s="206">
        <v>1.72</v>
      </c>
      <c r="BI148" s="206">
        <v>21.245000000000001</v>
      </c>
      <c r="BJ148" s="211"/>
      <c r="BK148" s="253">
        <v>6.5250000000000004</v>
      </c>
    </row>
    <row r="149" spans="1:63" x14ac:dyDescent="0.2">
      <c r="A149" s="224">
        <v>998.97500000000002</v>
      </c>
      <c r="B149" s="203"/>
      <c r="C149" s="204">
        <v>2299</v>
      </c>
      <c r="D149" s="212"/>
      <c r="E149" s="205">
        <v>583</v>
      </c>
      <c r="F149" s="205">
        <v>4015</v>
      </c>
      <c r="G149" s="258">
        <v>19.3</v>
      </c>
      <c r="H149" s="208"/>
      <c r="I149" s="260">
        <v>12.9</v>
      </c>
      <c r="J149" s="260">
        <v>25.7</v>
      </c>
      <c r="K149" s="206">
        <v>15</v>
      </c>
      <c r="L149" s="207"/>
      <c r="M149" s="208">
        <v>7</v>
      </c>
      <c r="N149" s="208">
        <v>23</v>
      </c>
      <c r="O149" s="206">
        <v>22.7</v>
      </c>
      <c r="P149" s="207"/>
      <c r="Q149" s="209">
        <v>17.5</v>
      </c>
      <c r="R149" s="208">
        <v>27.9</v>
      </c>
      <c r="S149" s="45"/>
      <c r="T149" s="209">
        <v>1746.5</v>
      </c>
      <c r="U149" s="210"/>
      <c r="V149" s="210">
        <v>1007</v>
      </c>
      <c r="W149" s="210">
        <v>2486</v>
      </c>
      <c r="X149" s="206">
        <v>7.95</v>
      </c>
      <c r="Y149" s="208"/>
      <c r="Z149" s="207">
        <v>5.5</v>
      </c>
      <c r="AA149" s="207">
        <v>10.4</v>
      </c>
      <c r="AB149" s="206">
        <v>3.95</v>
      </c>
      <c r="AC149" s="207"/>
      <c r="AD149" s="208">
        <v>1</v>
      </c>
      <c r="AE149" s="208">
        <v>6.9</v>
      </c>
      <c r="AF149" s="206">
        <v>14.8</v>
      </c>
      <c r="AG149" s="211"/>
      <c r="AH149" s="207">
        <v>14.4</v>
      </c>
      <c r="AI149" s="225">
        <v>15.2</v>
      </c>
      <c r="AK149" s="252">
        <v>998.97500000000002</v>
      </c>
      <c r="AL149" s="45"/>
      <c r="AM149" s="204">
        <v>1882.15</v>
      </c>
      <c r="AN149" s="204"/>
      <c r="AO149" s="204">
        <v>1062.55</v>
      </c>
      <c r="AP149" s="206">
        <v>13.39</v>
      </c>
      <c r="AQ149" s="211"/>
      <c r="AR149" s="206">
        <v>1.6</v>
      </c>
      <c r="AS149" s="206">
        <v>8.8550000000000004</v>
      </c>
      <c r="AT149" s="206"/>
      <c r="AU149" s="206">
        <v>2.875</v>
      </c>
      <c r="AV149" s="206">
        <v>17.329999999999998</v>
      </c>
      <c r="AW149" s="206"/>
      <c r="AX149" s="206">
        <v>1.1200000000000001</v>
      </c>
      <c r="AY149" s="45"/>
      <c r="AZ149" s="240">
        <v>1808.75</v>
      </c>
      <c r="BA149" s="240"/>
      <c r="BB149" s="241">
        <v>844.75</v>
      </c>
      <c r="BC149" s="206">
        <v>8.3000000000000007</v>
      </c>
      <c r="BD149" s="211"/>
      <c r="BE149" s="206">
        <v>3.15</v>
      </c>
      <c r="BF149" s="206">
        <v>3.8250000000000002</v>
      </c>
      <c r="BG149" s="211"/>
      <c r="BH149" s="206">
        <v>3.1749999999999998</v>
      </c>
      <c r="BI149" s="206">
        <v>15.744999999999999</v>
      </c>
      <c r="BJ149" s="211"/>
      <c r="BK149" s="253">
        <v>2.6150000000000002</v>
      </c>
    </row>
    <row r="150" spans="1:63" x14ac:dyDescent="0.2">
      <c r="A150" s="224">
        <v>999.17</v>
      </c>
      <c r="B150" s="203"/>
      <c r="C150" s="204">
        <v>1355</v>
      </c>
      <c r="D150" s="212"/>
      <c r="E150" s="205">
        <v>576</v>
      </c>
      <c r="F150" s="205">
        <v>2134</v>
      </c>
      <c r="G150" s="258">
        <v>18.100000000000001</v>
      </c>
      <c r="H150" s="208"/>
      <c r="I150" s="260">
        <v>10.5</v>
      </c>
      <c r="J150" s="260">
        <v>25.7</v>
      </c>
      <c r="K150" s="206">
        <v>14.05</v>
      </c>
      <c r="L150" s="207"/>
      <c r="M150" s="208">
        <v>5.0999999999999996</v>
      </c>
      <c r="N150" s="208">
        <v>23</v>
      </c>
      <c r="O150" s="206">
        <v>20.55</v>
      </c>
      <c r="P150" s="207"/>
      <c r="Q150" s="209">
        <v>13.2</v>
      </c>
      <c r="R150" s="208">
        <v>27.9</v>
      </c>
      <c r="S150" s="45"/>
      <c r="T150" s="209">
        <v>1452</v>
      </c>
      <c r="U150" s="210"/>
      <c r="V150" s="210">
        <v>921</v>
      </c>
      <c r="W150" s="210">
        <v>1983</v>
      </c>
      <c r="X150" s="206">
        <v>11.5</v>
      </c>
      <c r="Y150" s="208"/>
      <c r="Z150" s="207">
        <v>10.5</v>
      </c>
      <c r="AA150" s="207">
        <v>12.5</v>
      </c>
      <c r="AB150" s="206">
        <v>6.1</v>
      </c>
      <c r="AC150" s="207"/>
      <c r="AD150" s="208">
        <v>5.0999999999999996</v>
      </c>
      <c r="AE150" s="208">
        <v>7.1</v>
      </c>
      <c r="AF150" s="206">
        <v>21.4</v>
      </c>
      <c r="AG150" s="211"/>
      <c r="AH150" s="207">
        <v>15.2</v>
      </c>
      <c r="AI150" s="225">
        <v>27.6</v>
      </c>
      <c r="AK150" s="252">
        <v>999.17</v>
      </c>
      <c r="AL150" s="45"/>
      <c r="AM150" s="204">
        <v>1650.2</v>
      </c>
      <c r="AN150" s="204"/>
      <c r="AO150" s="204">
        <v>1074.2</v>
      </c>
      <c r="AP150" s="206">
        <v>17.97</v>
      </c>
      <c r="AQ150" s="211"/>
      <c r="AR150" s="206">
        <v>7.73</v>
      </c>
      <c r="AS150" s="206">
        <v>13.9</v>
      </c>
      <c r="AT150" s="206"/>
      <c r="AU150" s="206">
        <v>9.1</v>
      </c>
      <c r="AV150" s="206">
        <v>20.55</v>
      </c>
      <c r="AW150" s="206"/>
      <c r="AX150" s="206">
        <v>7.35</v>
      </c>
      <c r="AY150" s="45"/>
      <c r="AZ150" s="240">
        <v>1489.75</v>
      </c>
      <c r="BA150" s="240"/>
      <c r="BB150" s="241">
        <v>568.75</v>
      </c>
      <c r="BC150" s="206">
        <v>11.324999999999999</v>
      </c>
      <c r="BD150" s="211"/>
      <c r="BE150" s="206">
        <v>1.175</v>
      </c>
      <c r="BF150" s="206">
        <v>6</v>
      </c>
      <c r="BG150" s="211"/>
      <c r="BH150" s="206">
        <v>1.1000000000000001</v>
      </c>
      <c r="BI150" s="206">
        <v>21.58</v>
      </c>
      <c r="BJ150" s="211"/>
      <c r="BK150" s="253">
        <v>6.53</v>
      </c>
    </row>
    <row r="151" spans="1:63" x14ac:dyDescent="0.2">
      <c r="A151" s="224">
        <v>999.35500000000002</v>
      </c>
      <c r="B151" s="203"/>
      <c r="C151" s="204">
        <v>1097</v>
      </c>
      <c r="D151" s="204">
        <v>1097</v>
      </c>
      <c r="E151" s="205">
        <v>576</v>
      </c>
      <c r="F151" s="205">
        <v>1618</v>
      </c>
      <c r="G151" s="258">
        <v>18.7</v>
      </c>
      <c r="H151" s="206">
        <v>18.7</v>
      </c>
      <c r="I151" s="260">
        <v>12.8</v>
      </c>
      <c r="J151" s="260">
        <v>24.6</v>
      </c>
      <c r="K151" s="206">
        <v>14.2</v>
      </c>
      <c r="L151" s="206">
        <v>14.2</v>
      </c>
      <c r="M151" s="208">
        <v>7</v>
      </c>
      <c r="N151" s="208">
        <v>21.4</v>
      </c>
      <c r="O151" s="206">
        <v>23.5</v>
      </c>
      <c r="P151" s="206">
        <v>23.5</v>
      </c>
      <c r="Q151" s="209">
        <v>19.8</v>
      </c>
      <c r="R151" s="208">
        <v>27.2</v>
      </c>
      <c r="S151" s="45"/>
      <c r="T151" s="209">
        <v>1854.5</v>
      </c>
      <c r="U151" s="209">
        <v>1854.5</v>
      </c>
      <c r="V151" s="210">
        <v>1223</v>
      </c>
      <c r="W151" s="210">
        <v>2486</v>
      </c>
      <c r="X151" s="206">
        <v>7.95</v>
      </c>
      <c r="Y151" s="208">
        <v>7.95</v>
      </c>
      <c r="Z151" s="207">
        <v>5.5</v>
      </c>
      <c r="AA151" s="207">
        <v>10.4</v>
      </c>
      <c r="AB151" s="206">
        <v>4.3499999999999996</v>
      </c>
      <c r="AC151" s="207">
        <v>4.3499999999999996</v>
      </c>
      <c r="AD151" s="208">
        <v>1.8</v>
      </c>
      <c r="AE151" s="208">
        <v>6.9</v>
      </c>
      <c r="AF151" s="206">
        <v>14.8</v>
      </c>
      <c r="AG151" s="211">
        <v>14.8</v>
      </c>
      <c r="AH151" s="207">
        <v>14.4</v>
      </c>
      <c r="AI151" s="225">
        <v>15.2</v>
      </c>
      <c r="AK151" s="252">
        <v>999.35500000000002</v>
      </c>
      <c r="AL151" s="45"/>
      <c r="AM151" s="204">
        <v>1374.1</v>
      </c>
      <c r="AN151" s="204">
        <v>1374.1</v>
      </c>
      <c r="AO151" s="204">
        <v>591.1</v>
      </c>
      <c r="AP151" s="206">
        <v>14.55</v>
      </c>
      <c r="AQ151" s="206">
        <v>14.55</v>
      </c>
      <c r="AR151" s="206">
        <v>2.95</v>
      </c>
      <c r="AS151" s="206">
        <v>10.4</v>
      </c>
      <c r="AT151" s="206">
        <v>10.4</v>
      </c>
      <c r="AU151" s="206">
        <v>3.75</v>
      </c>
      <c r="AV151" s="206">
        <v>20.175000000000001</v>
      </c>
      <c r="AW151" s="206">
        <v>20.175000000000001</v>
      </c>
      <c r="AX151" s="206">
        <v>0.625</v>
      </c>
      <c r="AY151" s="45"/>
      <c r="AZ151" s="240">
        <v>1797.1</v>
      </c>
      <c r="BA151" s="240">
        <v>1797.1</v>
      </c>
      <c r="BB151" s="241">
        <v>725.3</v>
      </c>
      <c r="BC151" s="206">
        <v>8.0299999999999994</v>
      </c>
      <c r="BD151" s="211">
        <v>8.02</v>
      </c>
      <c r="BE151" s="206">
        <v>2.69</v>
      </c>
      <c r="BF151" s="206">
        <v>4.03</v>
      </c>
      <c r="BG151" s="211">
        <v>4.03</v>
      </c>
      <c r="BH151" s="206">
        <v>2.87</v>
      </c>
      <c r="BI151" s="206">
        <v>13.09</v>
      </c>
      <c r="BJ151" s="211">
        <v>13.09</v>
      </c>
      <c r="BK151" s="253">
        <v>1.49</v>
      </c>
    </row>
    <row r="152" spans="1:63" ht="16" thickBot="1" x14ac:dyDescent="0.25">
      <c r="A152" s="226">
        <v>999.755</v>
      </c>
      <c r="B152" s="227"/>
      <c r="C152" s="228">
        <v>1097</v>
      </c>
      <c r="D152" s="229"/>
      <c r="E152" s="230">
        <v>576</v>
      </c>
      <c r="F152" s="230">
        <v>1618</v>
      </c>
      <c r="G152" s="259">
        <v>18.350000000000001</v>
      </c>
      <c r="H152" s="232"/>
      <c r="I152" s="261">
        <v>12.8</v>
      </c>
      <c r="J152" s="261">
        <v>23.9</v>
      </c>
      <c r="K152" s="231">
        <v>13.2</v>
      </c>
      <c r="L152" s="233"/>
      <c r="M152" s="232">
        <v>7</v>
      </c>
      <c r="N152" s="232">
        <v>19.399999999999999</v>
      </c>
      <c r="O152" s="231">
        <v>23.6</v>
      </c>
      <c r="P152" s="233"/>
      <c r="Q152" s="234">
        <v>19.3</v>
      </c>
      <c r="R152" s="232">
        <v>27.9</v>
      </c>
      <c r="S152" s="80"/>
      <c r="T152" s="234">
        <v>1703.5</v>
      </c>
      <c r="U152" s="235"/>
      <c r="V152" s="235">
        <v>921</v>
      </c>
      <c r="W152" s="235">
        <v>2486</v>
      </c>
      <c r="X152" s="231">
        <v>7.95</v>
      </c>
      <c r="Y152" s="232"/>
      <c r="Z152" s="233">
        <v>5.5</v>
      </c>
      <c r="AA152" s="233">
        <v>10.4</v>
      </c>
      <c r="AB152" s="231">
        <v>3.95</v>
      </c>
      <c r="AC152" s="233"/>
      <c r="AD152" s="232">
        <v>1</v>
      </c>
      <c r="AE152" s="232">
        <v>6.9</v>
      </c>
      <c r="AF152" s="231">
        <v>14.8</v>
      </c>
      <c r="AG152" s="236"/>
      <c r="AH152" s="233">
        <v>14.4</v>
      </c>
      <c r="AI152" s="237">
        <v>15.2</v>
      </c>
      <c r="AK152" s="254">
        <v>999.755</v>
      </c>
      <c r="AL152" s="80"/>
      <c r="AM152" s="228">
        <v>1244.75</v>
      </c>
      <c r="AN152" s="228"/>
      <c r="AO152" s="228">
        <v>496.25</v>
      </c>
      <c r="AP152" s="231">
        <v>14.93</v>
      </c>
      <c r="AQ152" s="236"/>
      <c r="AR152" s="231">
        <v>3.57</v>
      </c>
      <c r="AS152" s="231">
        <v>10.49</v>
      </c>
      <c r="AT152" s="231"/>
      <c r="AU152" s="231">
        <v>3.91</v>
      </c>
      <c r="AV152" s="231">
        <v>19.475000000000001</v>
      </c>
      <c r="AW152" s="231"/>
      <c r="AX152" s="231">
        <v>1.675</v>
      </c>
      <c r="AY152" s="80"/>
      <c r="AZ152" s="255">
        <v>1787.25</v>
      </c>
      <c r="BA152" s="255"/>
      <c r="BB152" s="256">
        <v>866.25</v>
      </c>
      <c r="BC152" s="231">
        <v>8.3000000000000007</v>
      </c>
      <c r="BD152" s="236"/>
      <c r="BE152" s="231">
        <v>3.15</v>
      </c>
      <c r="BF152" s="231">
        <v>3.8250000000000002</v>
      </c>
      <c r="BG152" s="236"/>
      <c r="BH152" s="231">
        <v>3.1749999999999998</v>
      </c>
      <c r="BI152" s="231">
        <v>15.31</v>
      </c>
      <c r="BJ152" s="231"/>
      <c r="BK152" s="257">
        <v>2.1800000000000002</v>
      </c>
    </row>
    <row r="153" spans="1:63" ht="16" thickBot="1" x14ac:dyDescent="0.25"/>
    <row r="154" spans="1:63" x14ac:dyDescent="0.2">
      <c r="C154" s="306" t="s">
        <v>116</v>
      </c>
      <c r="D154" s="270" t="s">
        <v>666</v>
      </c>
      <c r="E154" s="271" t="s">
        <v>667</v>
      </c>
      <c r="F154" s="270" t="s">
        <v>672</v>
      </c>
      <c r="G154" s="270" t="s">
        <v>189</v>
      </c>
      <c r="H154" s="270" t="s">
        <v>673</v>
      </c>
      <c r="I154" s="272" t="s">
        <v>668</v>
      </c>
      <c r="J154" s="34"/>
      <c r="X154" s="34"/>
      <c r="Y154" s="34"/>
      <c r="Z154" s="34"/>
      <c r="AA154" s="34"/>
      <c r="AK154" s="306" t="s">
        <v>107</v>
      </c>
      <c r="AL154" s="270" t="s">
        <v>666</v>
      </c>
      <c r="AM154" s="271" t="s">
        <v>667</v>
      </c>
      <c r="AN154" s="270" t="s">
        <v>672</v>
      </c>
      <c r="AO154" s="270" t="s">
        <v>189</v>
      </c>
      <c r="AP154" s="270" t="s">
        <v>673</v>
      </c>
      <c r="AQ154" s="272" t="s">
        <v>668</v>
      </c>
      <c r="AR154" s="34"/>
      <c r="AS154" s="34"/>
      <c r="BC154" s="34">
        <f>AVERAGE(BC26:BC109)</f>
        <v>9.9939197530864163</v>
      </c>
      <c r="BD154" s="34">
        <f t="shared" ref="BD154:BE154" si="0">AVERAGE(BD26:BD109)</f>
        <v>9.5814743589743596</v>
      </c>
      <c r="BE154" s="34">
        <f t="shared" si="0"/>
        <v>2.9222530864197531</v>
      </c>
      <c r="BF154" s="34" t="s">
        <v>639</v>
      </c>
    </row>
    <row r="155" spans="1:63" x14ac:dyDescent="0.2">
      <c r="C155" s="273" t="s">
        <v>602</v>
      </c>
      <c r="D155" s="274">
        <f>COUNT(G26:G109)</f>
        <v>81</v>
      </c>
      <c r="E155" s="284">
        <f>MIN(G26:G109)</f>
        <v>17.2</v>
      </c>
      <c r="F155" s="284">
        <f>G155-(_xlfn.STDEV.P(G26:G109))</f>
        <v>17.42151626094719</v>
      </c>
      <c r="G155" s="284">
        <f>AVERAGE(G26:G109)</f>
        <v>18.405555555555559</v>
      </c>
      <c r="H155" s="284">
        <f>G155+(_xlfn.STDEV.P(G26:G109))</f>
        <v>19.389594850163927</v>
      </c>
      <c r="I155" s="285">
        <f>MAX(G26:G109)</f>
        <v>21.95</v>
      </c>
      <c r="J155" s="34"/>
      <c r="Z155" s="34"/>
      <c r="AA155" s="34"/>
      <c r="AK155" s="273" t="s">
        <v>602</v>
      </c>
      <c r="AL155" s="274">
        <f>COUNT(AP26:AP109)</f>
        <v>81</v>
      </c>
      <c r="AM155" s="284">
        <f>MIN(AP26:AP109)</f>
        <v>10.275</v>
      </c>
      <c r="AN155" s="284">
        <f>AO155-(_xlfn.STDEV.P(AP26:AP109))</f>
        <v>13.523279103446921</v>
      </c>
      <c r="AO155" s="284">
        <f>AVERAGE(AP26:AP109)</f>
        <v>15.808950617283955</v>
      </c>
      <c r="AP155" s="284">
        <f>AO155+(_xlfn.STDEV.P(AP26:AP109))</f>
        <v>18.094622131120989</v>
      </c>
      <c r="AQ155" s="285">
        <f>MAX(AP26:AP109)</f>
        <v>21.57</v>
      </c>
    </row>
    <row r="156" spans="1:63" x14ac:dyDescent="0.2">
      <c r="C156" s="273" t="s">
        <v>43</v>
      </c>
      <c r="D156" s="274"/>
      <c r="E156" s="284"/>
      <c r="F156" s="284"/>
      <c r="G156" s="284"/>
      <c r="H156" s="284"/>
      <c r="I156" s="285"/>
      <c r="AK156" s="273" t="s">
        <v>43</v>
      </c>
      <c r="AL156" s="274"/>
      <c r="AM156" s="284"/>
      <c r="AN156" s="284"/>
      <c r="AO156" s="284"/>
      <c r="AP156" s="284"/>
      <c r="AQ156" s="285"/>
    </row>
    <row r="157" spans="1:63" x14ac:dyDescent="0.2">
      <c r="C157" s="273" t="s">
        <v>186</v>
      </c>
      <c r="D157" s="274"/>
      <c r="E157" s="284"/>
      <c r="F157" s="284"/>
      <c r="G157" s="284"/>
      <c r="H157" s="284"/>
      <c r="I157" s="285"/>
      <c r="AK157" s="273" t="s">
        <v>186</v>
      </c>
      <c r="AL157" s="274"/>
      <c r="AM157" s="284"/>
      <c r="AN157" s="284"/>
      <c r="AO157" s="284"/>
      <c r="AP157" s="284"/>
      <c r="AQ157" s="285"/>
    </row>
    <row r="158" spans="1:63" x14ac:dyDescent="0.2">
      <c r="C158" s="273"/>
      <c r="D158" s="277"/>
      <c r="E158" s="284"/>
      <c r="F158" s="284"/>
      <c r="G158" s="286"/>
      <c r="H158" s="284"/>
      <c r="I158" s="287"/>
      <c r="AK158" s="273"/>
      <c r="AL158" s="277"/>
      <c r="AM158" s="284"/>
      <c r="AN158" s="284"/>
      <c r="AO158" s="286"/>
      <c r="AP158" s="284"/>
      <c r="AQ158" s="287"/>
    </row>
    <row r="159" spans="1:63" x14ac:dyDescent="0.2">
      <c r="C159" s="273"/>
      <c r="D159" s="277"/>
      <c r="E159" s="275"/>
      <c r="F159" s="279"/>
      <c r="G159" s="279"/>
      <c r="H159" s="279"/>
      <c r="I159" s="278"/>
      <c r="AK159" s="273"/>
      <c r="AL159" s="277"/>
      <c r="AM159" s="275"/>
      <c r="AN159" s="279"/>
      <c r="AO159" s="279"/>
      <c r="AP159" s="279"/>
      <c r="AQ159" s="278"/>
    </row>
    <row r="160" spans="1:63" x14ac:dyDescent="0.2">
      <c r="C160" s="273" t="s">
        <v>602</v>
      </c>
      <c r="D160" s="274">
        <f t="shared" ref="D160" si="1">D155</f>
        <v>81</v>
      </c>
      <c r="E160" s="275" t="str">
        <f>FIXED(E155,2)</f>
        <v>17.20</v>
      </c>
      <c r="F160" s="275" t="str">
        <f t="shared" ref="F160:I160" si="2">FIXED(F155,2)</f>
        <v>17.42</v>
      </c>
      <c r="G160" s="275" t="str">
        <f t="shared" si="2"/>
        <v>18.41</v>
      </c>
      <c r="H160" s="275" t="str">
        <f t="shared" si="2"/>
        <v>19.39</v>
      </c>
      <c r="I160" s="276" t="str">
        <f t="shared" si="2"/>
        <v>21.95</v>
      </c>
      <c r="AK160" s="273" t="s">
        <v>602</v>
      </c>
      <c r="AL160" s="274">
        <f t="shared" ref="AL160" si="3">AL155</f>
        <v>81</v>
      </c>
      <c r="AM160" s="275" t="str">
        <f>FIXED(AM155,2)</f>
        <v>10.28</v>
      </c>
      <c r="AN160" s="275" t="str">
        <f t="shared" ref="AN160:AQ160" si="4">FIXED(AN155,2)</f>
        <v>13.52</v>
      </c>
      <c r="AO160" s="275" t="str">
        <f t="shared" si="4"/>
        <v>15.81</v>
      </c>
      <c r="AP160" s="275" t="str">
        <f t="shared" si="4"/>
        <v>18.09</v>
      </c>
      <c r="AQ160" s="276" t="str">
        <f t="shared" si="4"/>
        <v>21.57</v>
      </c>
    </row>
    <row r="161" spans="3:43" x14ac:dyDescent="0.2">
      <c r="C161" s="273" t="s">
        <v>43</v>
      </c>
      <c r="D161" s="274"/>
      <c r="E161" s="275"/>
      <c r="F161" s="275"/>
      <c r="G161" s="275"/>
      <c r="H161" s="275"/>
      <c r="I161" s="276"/>
      <c r="AK161" s="273" t="s">
        <v>43</v>
      </c>
      <c r="AL161" s="274"/>
      <c r="AM161" s="275"/>
      <c r="AN161" s="275"/>
      <c r="AO161" s="275"/>
      <c r="AP161" s="275"/>
      <c r="AQ161" s="276"/>
    </row>
    <row r="162" spans="3:43" ht="16" thickBot="1" x14ac:dyDescent="0.25">
      <c r="C162" s="280" t="s">
        <v>186</v>
      </c>
      <c r="D162" s="281"/>
      <c r="E162" s="282"/>
      <c r="F162" s="282"/>
      <c r="G162" s="282"/>
      <c r="H162" s="282"/>
      <c r="I162" s="283"/>
      <c r="AK162" s="280" t="s">
        <v>186</v>
      </c>
      <c r="AL162" s="281"/>
      <c r="AM162" s="282"/>
      <c r="AN162" s="282"/>
      <c r="AO162" s="282"/>
      <c r="AP162" s="282"/>
      <c r="AQ162" s="283"/>
    </row>
  </sheetData>
  <mergeCells count="8">
    <mergeCell ref="AD7:AE7"/>
    <mergeCell ref="AH7:AI7"/>
    <mergeCell ref="E7:F7"/>
    <mergeCell ref="I7:J7"/>
    <mergeCell ref="M7:N7"/>
    <mergeCell ref="Q7:R7"/>
    <mergeCell ref="V7:W7"/>
    <mergeCell ref="Z7:AA7"/>
  </mergeCells>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A84"/>
  <sheetViews>
    <sheetView topLeftCell="O1" workbookViewId="0">
      <pane ySplit="2" topLeftCell="A60" activePane="bottomLeft" state="frozen"/>
      <selection pane="bottomLeft" activeCell="AB75" sqref="AB75"/>
    </sheetView>
  </sheetViews>
  <sheetFormatPr baseColWidth="10" defaultColWidth="11.5" defaultRowHeight="15" x14ac:dyDescent="0.2"/>
  <cols>
    <col min="1" max="1" width="4.83203125" customWidth="1"/>
    <col min="2" max="2" width="6.33203125" bestFit="1" customWidth="1"/>
    <col min="3" max="3" width="4.1640625" bestFit="1" customWidth="1"/>
    <col min="4" max="4" width="3.83203125" bestFit="1" customWidth="1"/>
    <col min="5" max="5" width="13.33203125" bestFit="1" customWidth="1"/>
    <col min="6" max="6" width="9.33203125" bestFit="1" customWidth="1"/>
    <col min="7" max="7" width="6.33203125" bestFit="1" customWidth="1"/>
    <col min="8" max="8" width="7.33203125" bestFit="1" customWidth="1"/>
    <col min="9" max="9" width="13.33203125" bestFit="1" customWidth="1"/>
    <col min="10" max="10" width="9.33203125" bestFit="1" customWidth="1"/>
    <col min="11" max="12" width="4.6640625" bestFit="1" customWidth="1"/>
    <col min="26" max="26" width="27.33203125" bestFit="1" customWidth="1"/>
    <col min="27" max="27" width="23.6640625" bestFit="1" customWidth="1"/>
  </cols>
  <sheetData>
    <row r="1" spans="1:27" ht="21" x14ac:dyDescent="0.25">
      <c r="A1" s="44" t="s">
        <v>243</v>
      </c>
      <c r="N1" s="44" t="s">
        <v>244</v>
      </c>
    </row>
    <row r="2" spans="1:27" s="41" customFormat="1" ht="107" thickBot="1" x14ac:dyDescent="0.25">
      <c r="A2" s="76" t="s">
        <v>207</v>
      </c>
      <c r="B2" s="77" t="s">
        <v>208</v>
      </c>
      <c r="C2" s="77" t="s">
        <v>219</v>
      </c>
      <c r="D2" s="77" t="s">
        <v>211</v>
      </c>
      <c r="E2" s="77" t="s">
        <v>246</v>
      </c>
      <c r="F2" s="77" t="s">
        <v>247</v>
      </c>
      <c r="G2" s="77" t="s">
        <v>208</v>
      </c>
      <c r="H2" s="77" t="s">
        <v>245</v>
      </c>
      <c r="I2" s="77" t="s">
        <v>246</v>
      </c>
      <c r="J2" s="77" t="s">
        <v>247</v>
      </c>
      <c r="K2" s="78" t="s">
        <v>248</v>
      </c>
      <c r="L2" s="76" t="s">
        <v>249</v>
      </c>
      <c r="M2" s="79"/>
      <c r="N2" s="60" t="s">
        <v>234</v>
      </c>
      <c r="O2" s="60" t="s">
        <v>235</v>
      </c>
      <c r="P2" s="60" t="s">
        <v>236</v>
      </c>
      <c r="Q2" s="60" t="s">
        <v>237</v>
      </c>
      <c r="R2" s="60" t="s">
        <v>238</v>
      </c>
      <c r="S2" s="60" t="s">
        <v>239</v>
      </c>
      <c r="T2" s="60" t="s">
        <v>240</v>
      </c>
      <c r="U2" s="60" t="s">
        <v>241</v>
      </c>
      <c r="V2" s="60" t="s">
        <v>242</v>
      </c>
      <c r="W2" s="79" t="s">
        <v>212</v>
      </c>
      <c r="X2" s="79" t="s">
        <v>213</v>
      </c>
      <c r="Y2" s="79" t="s">
        <v>229</v>
      </c>
      <c r="Z2" s="62" t="s">
        <v>214</v>
      </c>
      <c r="AA2" s="62" t="s">
        <v>218</v>
      </c>
    </row>
    <row r="3" spans="1:27" x14ac:dyDescent="0.2">
      <c r="A3">
        <v>189</v>
      </c>
      <c r="B3" s="64" t="s">
        <v>250</v>
      </c>
      <c r="C3" t="s">
        <v>342</v>
      </c>
      <c r="D3" t="s">
        <v>343</v>
      </c>
      <c r="E3" s="66" t="s">
        <v>252</v>
      </c>
      <c r="F3" s="65">
        <v>437.5</v>
      </c>
      <c r="G3" s="64" t="s">
        <v>250</v>
      </c>
      <c r="H3" s="64" t="s">
        <v>251</v>
      </c>
      <c r="I3" s="66" t="s">
        <v>252</v>
      </c>
      <c r="J3" s="65">
        <v>437.5</v>
      </c>
      <c r="K3" s="72">
        <v>41.09</v>
      </c>
      <c r="L3" s="34">
        <v>41.807083329999998</v>
      </c>
      <c r="M3" s="64"/>
      <c r="N3" s="73">
        <v>154000</v>
      </c>
      <c r="O3" s="73">
        <v>35000</v>
      </c>
      <c r="P3" s="73">
        <v>3120</v>
      </c>
      <c r="Q3" s="73">
        <v>720000</v>
      </c>
      <c r="R3" s="73">
        <v>130000</v>
      </c>
      <c r="S3" s="73">
        <v>31600</v>
      </c>
      <c r="T3" s="73">
        <v>4650000</v>
      </c>
      <c r="U3" s="73">
        <v>243000</v>
      </c>
      <c r="V3" s="73">
        <v>115000</v>
      </c>
      <c r="W3" s="74">
        <f t="shared" ref="W3:W18" si="0">-LOG((U3+R3)/(T3+Q3))</f>
        <v>1.1582654538908681</v>
      </c>
      <c r="X3" s="65">
        <f t="shared" ref="X3:X18" si="1">SUM(T3:V3)/SUM(N3:V3)</f>
        <v>0.82345126049867468</v>
      </c>
      <c r="Y3" s="65">
        <f>(T3+U3+V3)/(T3+U3+V3+Q3+R3+S3+N3)</f>
        <v>0.82864517837050766</v>
      </c>
      <c r="Z3" s="71">
        <f t="shared" ref="Z3:Z18" si="2">50*(X3-0.122-(0.187*W3))</f>
        <v>24.242781031054118</v>
      </c>
      <c r="AA3" s="71">
        <f>(0.81-5.67*W3)+31*Y3</f>
        <v>19.930635405924516</v>
      </c>
    </row>
    <row r="4" spans="1:27" x14ac:dyDescent="0.2">
      <c r="A4">
        <v>189</v>
      </c>
      <c r="B4" s="64" t="s">
        <v>250</v>
      </c>
      <c r="C4" t="s">
        <v>344</v>
      </c>
      <c r="D4" t="s">
        <v>345</v>
      </c>
      <c r="E4" s="66" t="s">
        <v>252</v>
      </c>
      <c r="F4" s="65">
        <v>444.1</v>
      </c>
      <c r="G4" s="64" t="s">
        <v>250</v>
      </c>
      <c r="H4" s="64" t="s">
        <v>253</v>
      </c>
      <c r="I4" s="66" t="s">
        <v>252</v>
      </c>
      <c r="J4" s="65">
        <v>444.1</v>
      </c>
      <c r="K4" s="72">
        <v>41.6</v>
      </c>
      <c r="L4" s="34">
        <v>42.309416669999997</v>
      </c>
      <c r="M4" s="64"/>
      <c r="N4" s="73">
        <v>487000</v>
      </c>
      <c r="O4" s="73">
        <v>140000</v>
      </c>
      <c r="P4" s="73">
        <v>82500</v>
      </c>
      <c r="Q4" s="73">
        <v>1890000</v>
      </c>
      <c r="R4" s="73">
        <v>517000</v>
      </c>
      <c r="S4" s="73">
        <v>126000</v>
      </c>
      <c r="T4" s="73">
        <v>10900000</v>
      </c>
      <c r="U4" s="73">
        <v>695000</v>
      </c>
      <c r="V4" s="73">
        <v>344000</v>
      </c>
      <c r="W4" s="74">
        <f t="shared" si="0"/>
        <v>1.0233679246483864</v>
      </c>
      <c r="X4" s="65">
        <f t="shared" si="1"/>
        <v>0.78641767941244278</v>
      </c>
      <c r="Y4" s="65">
        <f t="shared" ref="Y4:Y67" si="3">(T4+U4+V4)/(T4+U4+V4+Q4+R4+S4+N4)</f>
        <v>0.79811484724914772</v>
      </c>
      <c r="Z4" s="71">
        <f t="shared" si="2"/>
        <v>23.652393875159728</v>
      </c>
      <c r="AA4" s="71">
        <f t="shared" ref="AA4:AA67" si="4">(0.81-5.67*W4)+31*Y4</f>
        <v>19.749064131967227</v>
      </c>
    </row>
    <row r="5" spans="1:27" x14ac:dyDescent="0.2">
      <c r="A5">
        <v>189</v>
      </c>
      <c r="B5" s="64" t="s">
        <v>250</v>
      </c>
      <c r="C5" t="s">
        <v>346</v>
      </c>
      <c r="D5" t="s">
        <v>347</v>
      </c>
      <c r="E5" s="66" t="s">
        <v>252</v>
      </c>
      <c r="F5" s="65">
        <v>448.6</v>
      </c>
      <c r="G5" s="64" t="s">
        <v>250</v>
      </c>
      <c r="H5" s="64" t="s">
        <v>254</v>
      </c>
      <c r="I5" s="66" t="s">
        <v>252</v>
      </c>
      <c r="J5" s="65">
        <v>448.6</v>
      </c>
      <c r="K5" s="72">
        <v>42.04</v>
      </c>
      <c r="L5" s="34">
        <v>42.733166670000003</v>
      </c>
      <c r="M5" s="64"/>
      <c r="N5" s="73">
        <v>83600</v>
      </c>
      <c r="O5" s="73">
        <v>15700</v>
      </c>
      <c r="P5" s="73">
        <v>0</v>
      </c>
      <c r="Q5" s="73">
        <v>381000</v>
      </c>
      <c r="R5" s="73">
        <v>98900</v>
      </c>
      <c r="S5" s="73">
        <v>24400</v>
      </c>
      <c r="T5" s="73">
        <v>2360000</v>
      </c>
      <c r="U5" s="73">
        <v>142000</v>
      </c>
      <c r="V5" s="73">
        <v>66800</v>
      </c>
      <c r="W5" s="74">
        <f t="shared" si="0"/>
        <v>1.0560722355411549</v>
      </c>
      <c r="X5" s="65">
        <f t="shared" si="1"/>
        <v>0.80973395536502335</v>
      </c>
      <c r="Y5" s="65">
        <f t="shared" si="3"/>
        <v>0.81376120632305893</v>
      </c>
      <c r="Z5" s="71">
        <f t="shared" si="2"/>
        <v>24.512422365941369</v>
      </c>
      <c r="AA5" s="71">
        <f t="shared" si="4"/>
        <v>20.04866782049648</v>
      </c>
    </row>
    <row r="6" spans="1:27" x14ac:dyDescent="0.2">
      <c r="A6">
        <v>189</v>
      </c>
      <c r="B6" s="64" t="s">
        <v>250</v>
      </c>
      <c r="C6" t="s">
        <v>348</v>
      </c>
      <c r="D6" t="s">
        <v>349</v>
      </c>
      <c r="E6" s="66" t="s">
        <v>252</v>
      </c>
      <c r="F6" s="65">
        <v>452.2</v>
      </c>
      <c r="G6" s="64" t="s">
        <v>250</v>
      </c>
      <c r="H6" s="64" t="s">
        <v>255</v>
      </c>
      <c r="I6" s="66" t="s">
        <v>252</v>
      </c>
      <c r="J6" s="65">
        <v>452.2</v>
      </c>
      <c r="K6" s="72">
        <v>42.4</v>
      </c>
      <c r="L6" s="34">
        <v>43.072166670000001</v>
      </c>
      <c r="M6" s="64"/>
      <c r="N6" s="73">
        <v>112000</v>
      </c>
      <c r="O6" s="73">
        <v>24000</v>
      </c>
      <c r="P6" s="73">
        <v>7740</v>
      </c>
      <c r="Q6" s="73">
        <v>403000</v>
      </c>
      <c r="R6" s="73">
        <v>129000</v>
      </c>
      <c r="S6" s="73">
        <v>33100</v>
      </c>
      <c r="T6" s="73">
        <v>2380000</v>
      </c>
      <c r="U6" s="73">
        <v>150000</v>
      </c>
      <c r="V6" s="73">
        <v>75400</v>
      </c>
      <c r="W6" s="74">
        <f t="shared" si="0"/>
        <v>0.99890900306044539</v>
      </c>
      <c r="X6" s="65">
        <f t="shared" si="1"/>
        <v>0.78612291204016604</v>
      </c>
      <c r="Y6" s="65">
        <f t="shared" si="3"/>
        <v>0.79372429550647372</v>
      </c>
      <c r="Z6" s="71">
        <f t="shared" si="2"/>
        <v>23.866346423393136</v>
      </c>
      <c r="AA6" s="71">
        <f t="shared" si="4"/>
        <v>19.751639113347956</v>
      </c>
    </row>
    <row r="7" spans="1:27" x14ac:dyDescent="0.2">
      <c r="A7">
        <v>189</v>
      </c>
      <c r="B7" s="64" t="s">
        <v>250</v>
      </c>
      <c r="C7" t="s">
        <v>348</v>
      </c>
      <c r="D7" t="s">
        <v>350</v>
      </c>
      <c r="E7" s="66" t="s">
        <v>252</v>
      </c>
      <c r="F7" s="65">
        <v>455.1</v>
      </c>
      <c r="G7" s="64" t="s">
        <v>250</v>
      </c>
      <c r="H7" s="64" t="s">
        <v>256</v>
      </c>
      <c r="I7" s="66" t="s">
        <v>252</v>
      </c>
      <c r="J7" s="65">
        <v>455.1</v>
      </c>
      <c r="K7" s="72">
        <v>42.68</v>
      </c>
      <c r="L7" s="34">
        <v>43.34525</v>
      </c>
      <c r="M7" s="64"/>
      <c r="N7" s="73">
        <v>399000</v>
      </c>
      <c r="O7" s="73">
        <v>118000</v>
      </c>
      <c r="P7" s="73">
        <v>64000</v>
      </c>
      <c r="Q7" s="73">
        <v>1160000</v>
      </c>
      <c r="R7" s="73">
        <v>389000</v>
      </c>
      <c r="S7" s="73">
        <v>96600</v>
      </c>
      <c r="T7" s="73">
        <v>6000000</v>
      </c>
      <c r="U7" s="73">
        <v>414000</v>
      </c>
      <c r="V7" s="73">
        <v>211000</v>
      </c>
      <c r="W7" s="74">
        <f t="shared" si="0"/>
        <v>0.95019747702917456</v>
      </c>
      <c r="X7" s="65">
        <f t="shared" si="1"/>
        <v>0.74845225721903386</v>
      </c>
      <c r="Y7" s="65">
        <f t="shared" si="3"/>
        <v>0.76416443665221001</v>
      </c>
      <c r="Z7" s="71">
        <f t="shared" si="2"/>
        <v>22.438266450728911</v>
      </c>
      <c r="AA7" s="71">
        <f t="shared" si="4"/>
        <v>19.111477841463092</v>
      </c>
    </row>
    <row r="8" spans="1:27" x14ac:dyDescent="0.2">
      <c r="A8">
        <v>189</v>
      </c>
      <c r="B8" s="64" t="s">
        <v>250</v>
      </c>
      <c r="C8" t="s">
        <v>348</v>
      </c>
      <c r="D8" t="s">
        <v>351</v>
      </c>
      <c r="E8" s="66" t="s">
        <v>252</v>
      </c>
      <c r="F8" s="65">
        <v>459.7</v>
      </c>
      <c r="G8" s="64" t="s">
        <v>250</v>
      </c>
      <c r="H8" s="64" t="s">
        <v>257</v>
      </c>
      <c r="I8" s="66" t="s">
        <v>252</v>
      </c>
      <c r="J8" s="65">
        <v>459.7</v>
      </c>
      <c r="K8" s="72">
        <v>42.91</v>
      </c>
      <c r="L8" s="34">
        <v>43.550880679999999</v>
      </c>
      <c r="M8" s="64"/>
      <c r="N8" s="73">
        <v>123000</v>
      </c>
      <c r="O8" s="73">
        <v>12900</v>
      </c>
      <c r="P8" s="73">
        <v>6060</v>
      </c>
      <c r="Q8" s="73">
        <v>480000</v>
      </c>
      <c r="R8" s="73">
        <v>132000</v>
      </c>
      <c r="S8" s="73">
        <v>31400</v>
      </c>
      <c r="T8" s="73">
        <v>3170000</v>
      </c>
      <c r="U8" s="73">
        <v>202000</v>
      </c>
      <c r="V8" s="73">
        <v>102000</v>
      </c>
      <c r="W8" s="74">
        <f t="shared" si="0"/>
        <v>1.0385463976449103</v>
      </c>
      <c r="X8" s="65">
        <f t="shared" si="1"/>
        <v>0.81561549152924384</v>
      </c>
      <c r="Y8" s="65">
        <f t="shared" si="3"/>
        <v>0.81926233374209978</v>
      </c>
      <c r="Z8" s="71">
        <f t="shared" si="2"/>
        <v>24.970365758482281</v>
      </c>
      <c r="AA8" s="71">
        <f t="shared" si="4"/>
        <v>20.31857427135845</v>
      </c>
    </row>
    <row r="9" spans="1:27" x14ac:dyDescent="0.2">
      <c r="A9">
        <v>189</v>
      </c>
      <c r="B9" s="64" t="s">
        <v>250</v>
      </c>
      <c r="C9" t="s">
        <v>352</v>
      </c>
      <c r="D9" t="s">
        <v>353</v>
      </c>
      <c r="E9" s="66" t="s">
        <v>252</v>
      </c>
      <c r="F9" s="65">
        <v>469.8</v>
      </c>
      <c r="G9" s="64" t="s">
        <v>250</v>
      </c>
      <c r="H9" s="64" t="s">
        <v>258</v>
      </c>
      <c r="I9" s="66" t="s">
        <v>252</v>
      </c>
      <c r="J9" s="65">
        <v>469.8</v>
      </c>
      <c r="K9" s="72">
        <v>43.28</v>
      </c>
      <c r="L9" s="34">
        <v>43.880852269999998</v>
      </c>
      <c r="M9" s="64"/>
      <c r="N9" s="73">
        <v>101000</v>
      </c>
      <c r="O9" s="73">
        <v>0</v>
      </c>
      <c r="P9" s="73">
        <v>0</v>
      </c>
      <c r="Q9" s="73">
        <v>405000</v>
      </c>
      <c r="R9" s="73">
        <v>112000</v>
      </c>
      <c r="S9" s="73">
        <v>31400</v>
      </c>
      <c r="T9" s="73">
        <v>3090000</v>
      </c>
      <c r="U9" s="73">
        <v>172000</v>
      </c>
      <c r="V9" s="73">
        <v>90800</v>
      </c>
      <c r="W9" s="74">
        <f t="shared" si="0"/>
        <v>1.0901288400346625</v>
      </c>
      <c r="X9" s="65">
        <f t="shared" si="1"/>
        <v>0.83773924341612116</v>
      </c>
      <c r="Y9" s="65">
        <f t="shared" si="3"/>
        <v>0.83773924341612116</v>
      </c>
      <c r="Z9" s="71">
        <f t="shared" si="2"/>
        <v>25.594257516481967</v>
      </c>
      <c r="AA9" s="71">
        <f t="shared" si="4"/>
        <v>20.598886022903223</v>
      </c>
    </row>
    <row r="10" spans="1:27" x14ac:dyDescent="0.2">
      <c r="A10">
        <v>189</v>
      </c>
      <c r="B10" s="64" t="s">
        <v>250</v>
      </c>
      <c r="C10" t="s">
        <v>352</v>
      </c>
      <c r="D10" t="s">
        <v>349</v>
      </c>
      <c r="E10" s="66" t="s">
        <v>252</v>
      </c>
      <c r="F10" s="65">
        <v>471.4</v>
      </c>
      <c r="G10" s="64" t="s">
        <v>250</v>
      </c>
      <c r="H10" s="64" t="s">
        <v>259</v>
      </c>
      <c r="I10" s="66" t="s">
        <v>252</v>
      </c>
      <c r="J10" s="65">
        <v>471.4</v>
      </c>
      <c r="K10" s="72">
        <v>43.33</v>
      </c>
      <c r="L10" s="34">
        <v>43.933124999999997</v>
      </c>
      <c r="M10" s="64"/>
      <c r="N10" s="73">
        <v>158000</v>
      </c>
      <c r="O10" s="73">
        <v>28200</v>
      </c>
      <c r="P10" s="73">
        <v>8170</v>
      </c>
      <c r="Q10" s="73">
        <v>704000</v>
      </c>
      <c r="R10" s="73">
        <v>166000</v>
      </c>
      <c r="S10" s="73">
        <v>42900</v>
      </c>
      <c r="T10" s="73">
        <v>5110000</v>
      </c>
      <c r="U10" s="73">
        <v>294000</v>
      </c>
      <c r="V10" s="73">
        <v>135000</v>
      </c>
      <c r="W10" s="74">
        <f t="shared" si="0"/>
        <v>1.1017171957528349</v>
      </c>
      <c r="X10" s="65">
        <f t="shared" si="1"/>
        <v>0.83339978664724723</v>
      </c>
      <c r="Y10" s="65">
        <f t="shared" si="3"/>
        <v>0.83798544607331427</v>
      </c>
      <c r="Z10" s="71">
        <f t="shared" si="2"/>
        <v>25.268933552073356</v>
      </c>
      <c r="AA10" s="71">
        <f t="shared" si="4"/>
        <v>20.540812328354168</v>
      </c>
    </row>
    <row r="11" spans="1:27" x14ac:dyDescent="0.2">
      <c r="A11">
        <v>189</v>
      </c>
      <c r="B11" s="64" t="s">
        <v>250</v>
      </c>
      <c r="C11" t="s">
        <v>352</v>
      </c>
      <c r="D11" t="s">
        <v>350</v>
      </c>
      <c r="E11" s="66" t="s">
        <v>252</v>
      </c>
      <c r="F11" s="65">
        <v>474.4</v>
      </c>
      <c r="G11" s="64" t="s">
        <v>250</v>
      </c>
      <c r="H11" s="64" t="s">
        <v>260</v>
      </c>
      <c r="I11" s="66" t="s">
        <v>252</v>
      </c>
      <c r="J11" s="65">
        <v>474.4</v>
      </c>
      <c r="K11" s="72">
        <v>43.44</v>
      </c>
      <c r="L11" s="34">
        <v>44.031136359999998</v>
      </c>
      <c r="M11" s="64"/>
      <c r="N11" s="73">
        <v>70700</v>
      </c>
      <c r="O11" s="73">
        <v>13900</v>
      </c>
      <c r="P11" s="73">
        <v>3870</v>
      </c>
      <c r="Q11" s="73">
        <v>313000</v>
      </c>
      <c r="R11" s="73">
        <v>77700</v>
      </c>
      <c r="S11" s="73">
        <v>20000</v>
      </c>
      <c r="T11" s="73">
        <v>2260000</v>
      </c>
      <c r="U11" s="73">
        <v>123000</v>
      </c>
      <c r="V11" s="73">
        <v>63400</v>
      </c>
      <c r="W11" s="74">
        <f t="shared" si="0"/>
        <v>1.107892413722861</v>
      </c>
      <c r="X11" s="65">
        <f t="shared" si="1"/>
        <v>0.8305353462996975</v>
      </c>
      <c r="Y11" s="65">
        <f t="shared" si="3"/>
        <v>0.83557620056014759</v>
      </c>
      <c r="Z11" s="71">
        <f t="shared" si="2"/>
        <v>25.067973246676122</v>
      </c>
      <c r="AA11" s="71">
        <f t="shared" si="4"/>
        <v>20.431112231555954</v>
      </c>
    </row>
    <row r="12" spans="1:27" x14ac:dyDescent="0.2">
      <c r="A12">
        <v>189</v>
      </c>
      <c r="B12" s="64" t="s">
        <v>250</v>
      </c>
      <c r="C12" t="s">
        <v>354</v>
      </c>
      <c r="D12" t="s">
        <v>353</v>
      </c>
      <c r="E12" s="66" t="s">
        <v>252</v>
      </c>
      <c r="F12" s="65">
        <v>479.5</v>
      </c>
      <c r="G12" s="64" t="s">
        <v>250</v>
      </c>
      <c r="H12" s="64" t="s">
        <v>261</v>
      </c>
      <c r="I12" s="66" t="s">
        <v>252</v>
      </c>
      <c r="J12" s="65">
        <v>479.5</v>
      </c>
      <c r="K12" s="72">
        <v>43.63</v>
      </c>
      <c r="L12" s="34">
        <v>44.19775568</v>
      </c>
      <c r="M12" s="64"/>
      <c r="N12" s="73">
        <v>95000</v>
      </c>
      <c r="O12" s="73">
        <v>14400</v>
      </c>
      <c r="P12" s="73">
        <v>1720</v>
      </c>
      <c r="Q12" s="73">
        <v>327000</v>
      </c>
      <c r="R12" s="73">
        <v>108000</v>
      </c>
      <c r="S12" s="73">
        <v>26400</v>
      </c>
      <c r="T12" s="73">
        <v>1920000</v>
      </c>
      <c r="U12" s="73">
        <v>123000</v>
      </c>
      <c r="V12" s="73">
        <v>61500</v>
      </c>
      <c r="W12" s="74">
        <f t="shared" si="0"/>
        <v>0.98799109252698458</v>
      </c>
      <c r="X12" s="65">
        <f t="shared" si="1"/>
        <v>0.78613532958289445</v>
      </c>
      <c r="Y12" s="65">
        <f t="shared" si="3"/>
        <v>0.79089781652824231</v>
      </c>
      <c r="Z12" s="71">
        <f t="shared" si="2"/>
        <v>23.969049764017416</v>
      </c>
      <c r="AA12" s="71">
        <f t="shared" si="4"/>
        <v>19.725922817747509</v>
      </c>
    </row>
    <row r="13" spans="1:27" x14ac:dyDescent="0.2">
      <c r="A13">
        <v>189</v>
      </c>
      <c r="B13" s="64" t="s">
        <v>250</v>
      </c>
      <c r="C13" t="s">
        <v>354</v>
      </c>
      <c r="D13" t="s">
        <v>350</v>
      </c>
      <c r="E13" s="66" t="s">
        <v>252</v>
      </c>
      <c r="F13" s="65">
        <v>484</v>
      </c>
      <c r="G13" s="64" t="s">
        <v>250</v>
      </c>
      <c r="H13" s="64" t="s">
        <v>262</v>
      </c>
      <c r="I13" s="66" t="s">
        <v>252</v>
      </c>
      <c r="J13" s="65">
        <v>484</v>
      </c>
      <c r="K13" s="72">
        <v>43.8</v>
      </c>
      <c r="L13" s="34">
        <v>44.344772730000003</v>
      </c>
      <c r="M13" s="64"/>
      <c r="N13" s="73">
        <v>261000</v>
      </c>
      <c r="O13" s="73">
        <v>0</v>
      </c>
      <c r="P13" s="73">
        <v>32900</v>
      </c>
      <c r="Q13" s="73">
        <v>847000</v>
      </c>
      <c r="R13" s="73">
        <v>287000</v>
      </c>
      <c r="S13" s="73">
        <v>72400</v>
      </c>
      <c r="T13" s="73">
        <v>5560000</v>
      </c>
      <c r="U13" s="73">
        <v>334000</v>
      </c>
      <c r="V13" s="73">
        <v>178000</v>
      </c>
      <c r="W13" s="74">
        <f t="shared" si="0"/>
        <v>1.0135631238152805</v>
      </c>
      <c r="X13" s="65">
        <f t="shared" si="1"/>
        <v>0.80186997345588529</v>
      </c>
      <c r="Y13" s="65">
        <f t="shared" si="3"/>
        <v>0.80536912751677847</v>
      </c>
      <c r="Z13" s="71">
        <f t="shared" si="2"/>
        <v>24.516683465121393</v>
      </c>
      <c r="AA13" s="71">
        <f t="shared" si="4"/>
        <v>20.029540040987492</v>
      </c>
    </row>
    <row r="14" spans="1:27" x14ac:dyDescent="0.2">
      <c r="A14">
        <v>189</v>
      </c>
      <c r="B14" s="64" t="s">
        <v>250</v>
      </c>
      <c r="C14" t="s">
        <v>354</v>
      </c>
      <c r="D14" t="s">
        <v>347</v>
      </c>
      <c r="E14" s="66" t="s">
        <v>252</v>
      </c>
      <c r="F14" s="65">
        <v>486.9</v>
      </c>
      <c r="G14" s="64" t="s">
        <v>250</v>
      </c>
      <c r="H14" s="64" t="s">
        <v>263</v>
      </c>
      <c r="I14" s="66" t="s">
        <v>252</v>
      </c>
      <c r="J14" s="65">
        <v>486.9</v>
      </c>
      <c r="K14" s="72">
        <v>43.9</v>
      </c>
      <c r="L14" s="34">
        <v>44.439517049999999</v>
      </c>
      <c r="M14" s="64"/>
      <c r="N14" s="73">
        <v>107000</v>
      </c>
      <c r="O14" s="73">
        <v>8930</v>
      </c>
      <c r="P14" s="73">
        <v>3430</v>
      </c>
      <c r="Q14" s="73">
        <v>392000</v>
      </c>
      <c r="R14" s="73">
        <v>120000</v>
      </c>
      <c r="S14" s="73">
        <v>28900</v>
      </c>
      <c r="T14" s="73">
        <v>2190000</v>
      </c>
      <c r="U14" s="73">
        <v>144000</v>
      </c>
      <c r="V14" s="73">
        <v>75200</v>
      </c>
      <c r="W14" s="74">
        <f t="shared" si="0"/>
        <v>0.99035231106057042</v>
      </c>
      <c r="X14" s="65">
        <f t="shared" si="1"/>
        <v>0.78489375981442988</v>
      </c>
      <c r="Y14" s="65">
        <f t="shared" si="3"/>
        <v>0.78806712243629584</v>
      </c>
      <c r="Z14" s="71">
        <f t="shared" si="2"/>
        <v>23.88489388230516</v>
      </c>
      <c r="AA14" s="71">
        <f t="shared" si="4"/>
        <v>19.624783191811737</v>
      </c>
    </row>
    <row r="15" spans="1:27" x14ac:dyDescent="0.2">
      <c r="A15">
        <v>189</v>
      </c>
      <c r="B15" s="64" t="s">
        <v>250</v>
      </c>
      <c r="C15" t="s">
        <v>355</v>
      </c>
      <c r="D15" t="s">
        <v>349</v>
      </c>
      <c r="E15" s="66" t="s">
        <v>252</v>
      </c>
      <c r="F15" s="65">
        <v>490.6</v>
      </c>
      <c r="G15" s="64" t="s">
        <v>250</v>
      </c>
      <c r="H15" s="64" t="s">
        <v>264</v>
      </c>
      <c r="I15" s="66" t="s">
        <v>252</v>
      </c>
      <c r="J15" s="65">
        <v>490.6</v>
      </c>
      <c r="K15" s="72">
        <v>44.04</v>
      </c>
      <c r="L15" s="34">
        <v>44.560397729999998</v>
      </c>
      <c r="M15" s="64"/>
      <c r="N15" s="73">
        <v>107000</v>
      </c>
      <c r="O15" s="73">
        <v>14500</v>
      </c>
      <c r="P15" s="73">
        <v>4830</v>
      </c>
      <c r="Q15" s="73">
        <v>407000</v>
      </c>
      <c r="R15" s="73">
        <v>93100</v>
      </c>
      <c r="S15" s="73">
        <v>23600</v>
      </c>
      <c r="T15" s="73">
        <v>2790000</v>
      </c>
      <c r="U15" s="73">
        <v>152000</v>
      </c>
      <c r="V15" s="73">
        <v>79800</v>
      </c>
      <c r="W15" s="74">
        <f t="shared" si="0"/>
        <v>1.1153993250196101</v>
      </c>
      <c r="X15" s="65">
        <f t="shared" si="1"/>
        <v>0.82296838361253111</v>
      </c>
      <c r="Y15" s="65">
        <f t="shared" si="3"/>
        <v>0.82732375085557841</v>
      </c>
      <c r="Z15" s="71">
        <f t="shared" si="2"/>
        <v>24.619435491693199</v>
      </c>
      <c r="AA15" s="71">
        <f t="shared" si="4"/>
        <v>20.132722103661742</v>
      </c>
    </row>
    <row r="16" spans="1:27" x14ac:dyDescent="0.2">
      <c r="A16">
        <v>189</v>
      </c>
      <c r="B16" s="64" t="s">
        <v>250</v>
      </c>
      <c r="C16" t="s">
        <v>355</v>
      </c>
      <c r="D16" t="s">
        <v>350</v>
      </c>
      <c r="E16" s="66" t="s">
        <v>252</v>
      </c>
      <c r="F16" s="65">
        <v>493.6</v>
      </c>
      <c r="G16" s="64" t="s">
        <v>250</v>
      </c>
      <c r="H16" s="64" t="s">
        <v>265</v>
      </c>
      <c r="I16" s="66" t="s">
        <v>252</v>
      </c>
      <c r="J16" s="65">
        <v>493.6</v>
      </c>
      <c r="K16" s="72">
        <v>44.15</v>
      </c>
      <c r="L16" s="34">
        <v>44.658409089999999</v>
      </c>
      <c r="M16" s="64"/>
      <c r="N16" s="73">
        <v>70600</v>
      </c>
      <c r="O16" s="73">
        <v>5620</v>
      </c>
      <c r="P16" s="73">
        <v>2560</v>
      </c>
      <c r="Q16" s="73">
        <v>277000</v>
      </c>
      <c r="R16" s="73">
        <v>64300</v>
      </c>
      <c r="S16" s="73">
        <v>16500</v>
      </c>
      <c r="T16" s="73">
        <v>1910000</v>
      </c>
      <c r="U16" s="73">
        <v>104000</v>
      </c>
      <c r="V16" s="73">
        <v>54800</v>
      </c>
      <c r="W16" s="74">
        <f t="shared" si="0"/>
        <v>1.1137646670618133</v>
      </c>
      <c r="X16" s="65">
        <f t="shared" si="1"/>
        <v>0.82574300106171517</v>
      </c>
      <c r="Y16" s="65">
        <f t="shared" si="3"/>
        <v>0.82844786160499762</v>
      </c>
      <c r="Z16" s="71">
        <f t="shared" si="2"/>
        <v>24.773450416057806</v>
      </c>
      <c r="AA16" s="71">
        <f t="shared" si="4"/>
        <v>20.176838047514444</v>
      </c>
    </row>
    <row r="17" spans="1:27" x14ac:dyDescent="0.2">
      <c r="A17">
        <v>189</v>
      </c>
      <c r="B17" s="64" t="s">
        <v>250</v>
      </c>
      <c r="C17" t="s">
        <v>355</v>
      </c>
      <c r="D17" t="s">
        <v>351</v>
      </c>
      <c r="E17" s="66" t="s">
        <v>252</v>
      </c>
      <c r="F17" s="65">
        <v>498.1</v>
      </c>
      <c r="G17" s="64" t="s">
        <v>250</v>
      </c>
      <c r="H17" s="64" t="s">
        <v>266</v>
      </c>
      <c r="I17" s="66" t="s">
        <v>252</v>
      </c>
      <c r="J17" s="65">
        <v>498.1</v>
      </c>
      <c r="K17" s="72">
        <v>44.31</v>
      </c>
      <c r="L17" s="34">
        <v>44.805426140000002</v>
      </c>
      <c r="M17" s="64"/>
      <c r="N17" s="73">
        <v>382000</v>
      </c>
      <c r="O17" s="73">
        <v>100000</v>
      </c>
      <c r="P17" s="73">
        <v>41700</v>
      </c>
      <c r="Q17" s="73">
        <v>1640000</v>
      </c>
      <c r="R17" s="73">
        <v>437000</v>
      </c>
      <c r="S17" s="73">
        <v>103000</v>
      </c>
      <c r="T17" s="73">
        <v>11400000</v>
      </c>
      <c r="U17" s="73">
        <v>682000</v>
      </c>
      <c r="V17" s="73">
        <v>379000</v>
      </c>
      <c r="W17" s="74">
        <f t="shared" si="0"/>
        <v>1.0664475048675512</v>
      </c>
      <c r="X17" s="65">
        <f t="shared" si="1"/>
        <v>0.82171094713380421</v>
      </c>
      <c r="Y17" s="65">
        <f t="shared" si="3"/>
        <v>0.8294614923783532</v>
      </c>
      <c r="Z17" s="71">
        <f t="shared" si="2"/>
        <v>25.01426318617861</v>
      </c>
      <c r="AA17" s="71">
        <f t="shared" si="4"/>
        <v>20.476548911129932</v>
      </c>
    </row>
    <row r="18" spans="1:27" x14ac:dyDescent="0.2">
      <c r="A18">
        <v>189</v>
      </c>
      <c r="B18" s="64" t="s">
        <v>250</v>
      </c>
      <c r="C18" t="s">
        <v>356</v>
      </c>
      <c r="D18" t="s">
        <v>349</v>
      </c>
      <c r="E18" s="66" t="s">
        <v>252</v>
      </c>
      <c r="F18" s="65">
        <v>500.2</v>
      </c>
      <c r="G18" s="64" t="s">
        <v>250</v>
      </c>
      <c r="H18" s="64" t="s">
        <v>267</v>
      </c>
      <c r="I18" s="66" t="s">
        <v>252</v>
      </c>
      <c r="J18" s="65">
        <v>500.2</v>
      </c>
      <c r="K18" s="72">
        <v>44.39</v>
      </c>
      <c r="L18" s="34">
        <v>44.874034090000002</v>
      </c>
      <c r="M18" s="64"/>
      <c r="N18" s="73">
        <v>235000</v>
      </c>
      <c r="O18" s="73">
        <v>47600</v>
      </c>
      <c r="P18" s="73">
        <v>13900</v>
      </c>
      <c r="Q18" s="73">
        <v>1150000</v>
      </c>
      <c r="R18" s="73">
        <v>278000</v>
      </c>
      <c r="S18" s="73">
        <v>73400</v>
      </c>
      <c r="T18" s="73">
        <v>7580000</v>
      </c>
      <c r="U18" s="73">
        <v>435000</v>
      </c>
      <c r="V18" s="73">
        <v>238000</v>
      </c>
      <c r="W18" s="74">
        <f t="shared" si="0"/>
        <v>1.0879247138537043</v>
      </c>
      <c r="X18" s="65">
        <f t="shared" si="1"/>
        <v>0.82112049667193987</v>
      </c>
      <c r="Y18" s="65">
        <f t="shared" si="3"/>
        <v>0.82617574629106849</v>
      </c>
      <c r="Z18" s="71">
        <f t="shared" si="2"/>
        <v>24.78392875906486</v>
      </c>
      <c r="AA18" s="71">
        <f t="shared" si="4"/>
        <v>20.252915007472623</v>
      </c>
    </row>
    <row r="19" spans="1:27" x14ac:dyDescent="0.2">
      <c r="A19">
        <v>189</v>
      </c>
      <c r="B19" s="64" t="s">
        <v>269</v>
      </c>
      <c r="C19" t="s">
        <v>357</v>
      </c>
      <c r="D19" t="s">
        <v>349</v>
      </c>
      <c r="E19" s="64" t="s">
        <v>252</v>
      </c>
      <c r="F19" s="65">
        <v>508.5</v>
      </c>
      <c r="G19" s="64" t="s">
        <v>269</v>
      </c>
      <c r="H19" s="64" t="s">
        <v>270</v>
      </c>
      <c r="I19" s="64" t="s">
        <v>252</v>
      </c>
      <c r="J19" s="65">
        <v>508.5</v>
      </c>
      <c r="K19" s="72">
        <v>44.69</v>
      </c>
      <c r="L19" s="34">
        <v>45.145198860000001</v>
      </c>
      <c r="M19" s="64"/>
      <c r="N19" s="73">
        <v>332000</v>
      </c>
      <c r="O19" s="73">
        <v>110000</v>
      </c>
      <c r="P19" s="73">
        <v>60200</v>
      </c>
      <c r="Q19" s="73">
        <v>1370000</v>
      </c>
      <c r="R19" s="73">
        <v>399000</v>
      </c>
      <c r="S19" s="73">
        <v>101000</v>
      </c>
      <c r="T19" s="73">
        <v>9300000</v>
      </c>
      <c r="U19" s="73">
        <v>559000</v>
      </c>
      <c r="V19" s="73">
        <v>305000</v>
      </c>
      <c r="W19" s="74">
        <f t="shared" ref="W19:W41" si="5">-LOG((U19+R19)/(T19+Q19))</f>
        <v>1.0467989103459254</v>
      </c>
      <c r="X19" s="65">
        <f t="shared" ref="X19:X41" si="6">SUM(T19:V19)/SUM(N19:V19)</f>
        <v>0.8107720042756178</v>
      </c>
      <c r="Y19" s="65">
        <f t="shared" si="3"/>
        <v>0.82193110140708392</v>
      </c>
      <c r="Z19" s="71">
        <f t="shared" ref="Z19:Z41" si="7">50*(X19-0.122-(0.187*W19))</f>
        <v>24.651030402046487</v>
      </c>
      <c r="AA19" s="71">
        <f t="shared" si="4"/>
        <v>20.354514321958206</v>
      </c>
    </row>
    <row r="20" spans="1:27" x14ac:dyDescent="0.2">
      <c r="A20">
        <v>189</v>
      </c>
      <c r="B20" s="64" t="s">
        <v>269</v>
      </c>
      <c r="C20" t="s">
        <v>357</v>
      </c>
      <c r="D20" t="s">
        <v>350</v>
      </c>
      <c r="E20" s="64" t="s">
        <v>272</v>
      </c>
      <c r="F20" s="65">
        <v>512.6</v>
      </c>
      <c r="G20" s="64" t="s">
        <v>269</v>
      </c>
      <c r="H20" s="64" t="s">
        <v>271</v>
      </c>
      <c r="I20" s="64" t="s">
        <v>272</v>
      </c>
      <c r="J20" s="65">
        <v>512.6</v>
      </c>
      <c r="K20" s="72">
        <v>44.84</v>
      </c>
      <c r="L20" s="34">
        <v>45.279147729999998</v>
      </c>
      <c r="M20" s="64"/>
      <c r="N20" s="73">
        <v>121000</v>
      </c>
      <c r="O20" s="73">
        <v>15800</v>
      </c>
      <c r="P20" s="73">
        <v>6180</v>
      </c>
      <c r="Q20" s="73">
        <v>631000</v>
      </c>
      <c r="R20" s="73">
        <v>151000</v>
      </c>
      <c r="S20" s="73">
        <v>36700</v>
      </c>
      <c r="T20" s="73">
        <v>4130000</v>
      </c>
      <c r="U20" s="73">
        <v>233000</v>
      </c>
      <c r="V20" s="73">
        <v>118000</v>
      </c>
      <c r="W20" s="74">
        <f t="shared" si="5"/>
        <v>1.0933669571069797</v>
      </c>
      <c r="X20" s="65">
        <f t="shared" si="6"/>
        <v>0.82330763520912487</v>
      </c>
      <c r="Y20" s="65">
        <f t="shared" si="3"/>
        <v>0.82664600512848896</v>
      </c>
      <c r="Z20" s="71">
        <f t="shared" si="7"/>
        <v>24.842400711505981</v>
      </c>
      <c r="AA20" s="71">
        <f t="shared" si="4"/>
        <v>20.236635512186584</v>
      </c>
    </row>
    <row r="21" spans="1:27" x14ac:dyDescent="0.2">
      <c r="A21">
        <v>189</v>
      </c>
      <c r="B21" s="64" t="s">
        <v>269</v>
      </c>
      <c r="C21" t="s">
        <v>358</v>
      </c>
      <c r="D21" t="s">
        <v>353</v>
      </c>
      <c r="E21" s="64" t="s">
        <v>274</v>
      </c>
      <c r="F21" s="65">
        <v>517.66499999999996</v>
      </c>
      <c r="G21" s="64" t="s">
        <v>269</v>
      </c>
      <c r="H21" s="64" t="s">
        <v>273</v>
      </c>
      <c r="I21" s="64" t="s">
        <v>274</v>
      </c>
      <c r="J21" s="65">
        <v>517.66499999999996</v>
      </c>
      <c r="K21" s="72">
        <v>45.03</v>
      </c>
      <c r="L21" s="34">
        <v>45.444786929999999</v>
      </c>
      <c r="M21" s="64"/>
      <c r="N21" s="73">
        <v>129000</v>
      </c>
      <c r="O21" s="73">
        <v>27200</v>
      </c>
      <c r="P21" s="73">
        <v>8370</v>
      </c>
      <c r="Q21" s="73">
        <v>541000</v>
      </c>
      <c r="R21" s="73">
        <v>178000</v>
      </c>
      <c r="S21" s="73">
        <v>43000</v>
      </c>
      <c r="T21" s="73">
        <v>3520000</v>
      </c>
      <c r="U21" s="73">
        <v>208000</v>
      </c>
      <c r="V21" s="73">
        <v>115000</v>
      </c>
      <c r="W21" s="74">
        <f t="shared" si="5"/>
        <v>1.022045684818282</v>
      </c>
      <c r="X21" s="65">
        <f t="shared" si="6"/>
        <v>0.80573301157127375</v>
      </c>
      <c r="Y21" s="65">
        <f t="shared" si="3"/>
        <v>0.81178707224334601</v>
      </c>
      <c r="Z21" s="71">
        <f t="shared" si="7"/>
        <v>24.630523425512752</v>
      </c>
      <c r="AA21" s="71">
        <f t="shared" si="4"/>
        <v>20.180400206624071</v>
      </c>
    </row>
    <row r="22" spans="1:27" x14ac:dyDescent="0.2">
      <c r="A22">
        <v>189</v>
      </c>
      <c r="B22" s="64" t="s">
        <v>269</v>
      </c>
      <c r="C22" t="s">
        <v>358</v>
      </c>
      <c r="D22" t="s">
        <v>349</v>
      </c>
      <c r="E22" s="64" t="s">
        <v>276</v>
      </c>
      <c r="F22" s="65">
        <v>519.24</v>
      </c>
      <c r="G22" s="64" t="s">
        <v>269</v>
      </c>
      <c r="H22" s="64" t="s">
        <v>275</v>
      </c>
      <c r="I22" s="64" t="s">
        <v>276</v>
      </c>
      <c r="J22" s="65">
        <v>519.24</v>
      </c>
      <c r="K22" s="72">
        <v>45.09</v>
      </c>
      <c r="L22" s="34">
        <v>45.496079549999997</v>
      </c>
      <c r="M22" s="64"/>
      <c r="N22" s="73">
        <v>403000</v>
      </c>
      <c r="O22" s="73">
        <v>46800</v>
      </c>
      <c r="P22" s="73">
        <v>25500</v>
      </c>
      <c r="Q22" s="73">
        <v>1700000</v>
      </c>
      <c r="R22" s="73">
        <v>669000</v>
      </c>
      <c r="S22" s="73">
        <v>176000</v>
      </c>
      <c r="T22" s="73">
        <v>11800000</v>
      </c>
      <c r="U22" s="73">
        <v>771000</v>
      </c>
      <c r="V22" s="73">
        <v>402000</v>
      </c>
      <c r="W22" s="74">
        <f t="shared" si="5"/>
        <v>0.97197127639975645</v>
      </c>
      <c r="X22" s="65">
        <f t="shared" si="6"/>
        <v>0.81115216997117545</v>
      </c>
      <c r="Y22" s="65">
        <f t="shared" si="3"/>
        <v>0.81483575152314558</v>
      </c>
      <c r="Z22" s="71">
        <f t="shared" si="7"/>
        <v>25.369677064221051</v>
      </c>
      <c r="AA22" s="71">
        <f t="shared" si="4"/>
        <v>20.558831160030895</v>
      </c>
    </row>
    <row r="23" spans="1:27" x14ac:dyDescent="0.2">
      <c r="A23">
        <v>189</v>
      </c>
      <c r="B23" s="64" t="s">
        <v>269</v>
      </c>
      <c r="C23" t="s">
        <v>358</v>
      </c>
      <c r="D23" t="s">
        <v>345</v>
      </c>
      <c r="E23" s="64" t="s">
        <v>278</v>
      </c>
      <c r="F23" s="65">
        <v>519.91</v>
      </c>
      <c r="G23" s="64" t="s">
        <v>269</v>
      </c>
      <c r="H23" s="64" t="s">
        <v>277</v>
      </c>
      <c r="I23" s="64" t="s">
        <v>278</v>
      </c>
      <c r="J23" s="65">
        <f>J22-1.14+1.5+0.31</f>
        <v>519.91</v>
      </c>
      <c r="K23" s="72">
        <v>45.11</v>
      </c>
      <c r="L23" s="34">
        <v>45.517968750000001</v>
      </c>
      <c r="M23" s="68"/>
      <c r="N23" s="75">
        <v>86400</v>
      </c>
      <c r="O23" s="75">
        <v>20700</v>
      </c>
      <c r="P23" s="75">
        <v>3950</v>
      </c>
      <c r="Q23" s="75">
        <v>342000</v>
      </c>
      <c r="R23" s="75">
        <v>94300</v>
      </c>
      <c r="S23" s="75">
        <v>26300</v>
      </c>
      <c r="T23" s="75">
        <v>2490000</v>
      </c>
      <c r="U23" s="75">
        <v>137000</v>
      </c>
      <c r="V23" s="75">
        <v>67000</v>
      </c>
      <c r="W23" s="74">
        <f t="shared" si="5"/>
        <v>1.087917616247112</v>
      </c>
      <c r="X23" s="65">
        <f t="shared" si="6"/>
        <v>0.82444570256912464</v>
      </c>
      <c r="Y23" s="65">
        <f t="shared" si="3"/>
        <v>0.8307123034227567</v>
      </c>
      <c r="Z23" s="71">
        <f t="shared" si="7"/>
        <v>24.950255416545737</v>
      </c>
      <c r="AA23" s="71">
        <f t="shared" si="4"/>
        <v>20.393588521984334</v>
      </c>
    </row>
    <row r="24" spans="1:27" x14ac:dyDescent="0.2">
      <c r="A24">
        <v>189</v>
      </c>
      <c r="B24" s="64" t="s">
        <v>269</v>
      </c>
      <c r="C24" t="s">
        <v>358</v>
      </c>
      <c r="D24" t="s">
        <v>350</v>
      </c>
      <c r="E24" s="64" t="s">
        <v>252</v>
      </c>
      <c r="F24" s="65">
        <v>521.20000000000005</v>
      </c>
      <c r="G24" s="64" t="s">
        <v>269</v>
      </c>
      <c r="H24" s="64" t="s">
        <v>279</v>
      </c>
      <c r="I24" s="64" t="s">
        <v>252</v>
      </c>
      <c r="J24" s="65">
        <v>521.20000000000005</v>
      </c>
      <c r="K24" s="72">
        <v>45.16</v>
      </c>
      <c r="L24" s="34">
        <v>45.560113639999997</v>
      </c>
      <c r="M24" s="64"/>
      <c r="N24" s="73">
        <v>308000</v>
      </c>
      <c r="O24" s="73">
        <v>105000</v>
      </c>
      <c r="P24" s="73">
        <v>54500</v>
      </c>
      <c r="Q24" s="73">
        <v>1440000</v>
      </c>
      <c r="R24" s="73">
        <v>392000</v>
      </c>
      <c r="S24" s="73">
        <v>99500</v>
      </c>
      <c r="T24" s="73">
        <v>11100000</v>
      </c>
      <c r="U24" s="73">
        <v>662000</v>
      </c>
      <c r="V24" s="73">
        <v>337000</v>
      </c>
      <c r="W24" s="74">
        <f t="shared" si="5"/>
        <v>1.0754569256181699</v>
      </c>
      <c r="X24" s="65">
        <f t="shared" si="6"/>
        <v>0.83452890053800521</v>
      </c>
      <c r="Y24" s="65">
        <f t="shared" si="3"/>
        <v>0.84381211423789104</v>
      </c>
      <c r="Z24" s="71">
        <f t="shared" si="7"/>
        <v>25.570922772370373</v>
      </c>
      <c r="AA24" s="71">
        <f t="shared" si="4"/>
        <v>20.870334773119598</v>
      </c>
    </row>
    <row r="25" spans="1:27" x14ac:dyDescent="0.2">
      <c r="A25">
        <v>189</v>
      </c>
      <c r="B25" s="64" t="s">
        <v>269</v>
      </c>
      <c r="C25" t="s">
        <v>358</v>
      </c>
      <c r="D25" t="s">
        <v>350</v>
      </c>
      <c r="E25" s="64" t="s">
        <v>280</v>
      </c>
      <c r="F25" s="65">
        <v>522.45000000000005</v>
      </c>
      <c r="G25" s="64" t="s">
        <v>269</v>
      </c>
      <c r="H25" s="64" t="s">
        <v>279</v>
      </c>
      <c r="I25" s="64" t="s">
        <v>280</v>
      </c>
      <c r="J25" s="65">
        <f>J24+1.35-0.1</f>
        <v>522.45000000000005</v>
      </c>
      <c r="K25" s="72">
        <v>45.21</v>
      </c>
      <c r="L25" s="34">
        <v>45.600951700000003</v>
      </c>
      <c r="M25" s="68"/>
      <c r="N25" s="75">
        <v>148000</v>
      </c>
      <c r="O25" s="75">
        <v>26600</v>
      </c>
      <c r="P25" s="75">
        <v>4580</v>
      </c>
      <c r="Q25" s="75">
        <v>474000</v>
      </c>
      <c r="R25" s="75">
        <v>149000</v>
      </c>
      <c r="S25" s="75">
        <v>41000</v>
      </c>
      <c r="T25" s="75">
        <v>3420000</v>
      </c>
      <c r="U25" s="75">
        <v>210000</v>
      </c>
      <c r="V25" s="75">
        <v>110000</v>
      </c>
      <c r="W25" s="74">
        <f t="shared" si="5"/>
        <v>1.0353014986056936</v>
      </c>
      <c r="X25" s="65">
        <f t="shared" si="6"/>
        <v>0.81602729982239408</v>
      </c>
      <c r="Y25" s="65">
        <f t="shared" si="3"/>
        <v>0.82161687170474518</v>
      </c>
      <c r="Z25" s="71">
        <f t="shared" si="7"/>
        <v>25.021295979156466</v>
      </c>
      <c r="AA25" s="71">
        <f t="shared" si="4"/>
        <v>20.409963525752818</v>
      </c>
    </row>
    <row r="26" spans="1:27" x14ac:dyDescent="0.2">
      <c r="A26">
        <v>189</v>
      </c>
      <c r="B26" s="64" t="s">
        <v>269</v>
      </c>
      <c r="C26" t="s">
        <v>359</v>
      </c>
      <c r="D26" t="s">
        <v>353</v>
      </c>
      <c r="E26" s="64" t="s">
        <v>282</v>
      </c>
      <c r="F26" s="65">
        <v>526.69000000000005</v>
      </c>
      <c r="G26" s="64" t="s">
        <v>269</v>
      </c>
      <c r="H26" s="64" t="s">
        <v>281</v>
      </c>
      <c r="I26" s="64" t="s">
        <v>282</v>
      </c>
      <c r="J26" s="65">
        <f>J27-1.06+0.35</f>
        <v>526.69000000000005</v>
      </c>
      <c r="K26" s="72">
        <v>45.39</v>
      </c>
      <c r="L26" s="34">
        <v>45.764544119999996</v>
      </c>
      <c r="M26" s="68"/>
      <c r="N26" s="75">
        <v>96700</v>
      </c>
      <c r="O26" s="75">
        <v>24300</v>
      </c>
      <c r="P26" s="75">
        <v>5230</v>
      </c>
      <c r="Q26" s="75">
        <v>380000</v>
      </c>
      <c r="R26" s="75">
        <v>130000</v>
      </c>
      <c r="S26" s="75">
        <v>30500</v>
      </c>
      <c r="T26" s="75">
        <v>2640000</v>
      </c>
      <c r="U26" s="75">
        <v>165000</v>
      </c>
      <c r="V26" s="75">
        <v>83400</v>
      </c>
      <c r="W26" s="74">
        <f t="shared" si="5"/>
        <v>1.0101849269789875</v>
      </c>
      <c r="X26" s="65">
        <f t="shared" si="6"/>
        <v>0.81245974127528386</v>
      </c>
      <c r="Y26" s="65">
        <f t="shared" si="3"/>
        <v>0.81926480599046969</v>
      </c>
      <c r="Z26" s="71">
        <f t="shared" si="7"/>
        <v>25.077757996510659</v>
      </c>
      <c r="AA26" s="71">
        <f t="shared" si="4"/>
        <v>20.479460449733701</v>
      </c>
    </row>
    <row r="27" spans="1:27" x14ac:dyDescent="0.2">
      <c r="A27">
        <v>189</v>
      </c>
      <c r="B27" s="64" t="s">
        <v>269</v>
      </c>
      <c r="C27" t="s">
        <v>359</v>
      </c>
      <c r="D27" t="s">
        <v>353</v>
      </c>
      <c r="E27" s="64" t="s">
        <v>283</v>
      </c>
      <c r="F27" s="65">
        <v>527.4</v>
      </c>
      <c r="G27" s="64" t="s">
        <v>269</v>
      </c>
      <c r="H27" s="64" t="s">
        <v>281</v>
      </c>
      <c r="I27" s="64" t="s">
        <v>283</v>
      </c>
      <c r="J27" s="65">
        <v>527.4</v>
      </c>
      <c r="K27" s="72">
        <v>45.49</v>
      </c>
      <c r="L27" s="34">
        <v>45.849117649999997</v>
      </c>
      <c r="M27" s="64"/>
      <c r="N27" s="73">
        <v>1250000</v>
      </c>
      <c r="O27" s="73">
        <v>186000</v>
      </c>
      <c r="P27" s="73">
        <v>22700</v>
      </c>
      <c r="Q27" s="73">
        <v>5030000</v>
      </c>
      <c r="R27" s="73">
        <v>1580000</v>
      </c>
      <c r="S27" s="73">
        <v>393000</v>
      </c>
      <c r="T27" s="73">
        <v>42900000</v>
      </c>
      <c r="U27" s="73">
        <v>2710000</v>
      </c>
      <c r="V27" s="73">
        <v>1470000</v>
      </c>
      <c r="W27" s="74">
        <f t="shared" si="5"/>
        <v>1.0481501368070636</v>
      </c>
      <c r="X27" s="65">
        <f t="shared" si="6"/>
        <v>0.84765140426022245</v>
      </c>
      <c r="Y27" s="65">
        <f t="shared" si="3"/>
        <v>0.85084849908734395</v>
      </c>
      <c r="Z27" s="71">
        <f t="shared" si="7"/>
        <v>26.482366433865078</v>
      </c>
      <c r="AA27" s="71">
        <f t="shared" si="4"/>
        <v>21.243292196011609</v>
      </c>
    </row>
    <row r="28" spans="1:27" x14ac:dyDescent="0.2">
      <c r="A28">
        <v>189</v>
      </c>
      <c r="B28" s="64" t="s">
        <v>269</v>
      </c>
      <c r="C28" t="s">
        <v>359</v>
      </c>
      <c r="D28" t="s">
        <v>345</v>
      </c>
      <c r="E28" s="64" t="s">
        <v>252</v>
      </c>
      <c r="F28" s="65">
        <v>529.29999999999995</v>
      </c>
      <c r="G28" s="64" t="s">
        <v>269</v>
      </c>
      <c r="H28" s="64" t="s">
        <v>284</v>
      </c>
      <c r="I28" s="64" t="s">
        <v>252</v>
      </c>
      <c r="J28" s="65">
        <v>529.29999999999995</v>
      </c>
      <c r="K28" s="72">
        <v>45.75</v>
      </c>
      <c r="L28" s="34">
        <v>46.075441179999999</v>
      </c>
      <c r="M28" s="64"/>
      <c r="N28" s="73">
        <v>153000</v>
      </c>
      <c r="O28" s="73">
        <v>36500</v>
      </c>
      <c r="P28" s="73">
        <v>9500</v>
      </c>
      <c r="Q28" s="73">
        <v>603000</v>
      </c>
      <c r="R28" s="73">
        <v>214000</v>
      </c>
      <c r="S28" s="73">
        <v>53700</v>
      </c>
      <c r="T28" s="73">
        <v>5120000</v>
      </c>
      <c r="U28" s="73">
        <v>315000</v>
      </c>
      <c r="V28" s="73">
        <v>179000</v>
      </c>
      <c r="W28" s="74">
        <f t="shared" si="5"/>
        <v>1.0341680738732033</v>
      </c>
      <c r="X28" s="65">
        <f t="shared" si="6"/>
        <v>0.83995391774017381</v>
      </c>
      <c r="Y28" s="65">
        <f t="shared" si="3"/>
        <v>0.84577489190532862</v>
      </c>
      <c r="Z28" s="71">
        <f t="shared" si="7"/>
        <v>26.228224396294241</v>
      </c>
      <c r="AA28" s="71">
        <f t="shared" si="4"/>
        <v>21.165288670204124</v>
      </c>
    </row>
    <row r="29" spans="1:27" x14ac:dyDescent="0.2">
      <c r="A29">
        <v>189</v>
      </c>
      <c r="B29" s="64" t="s">
        <v>269</v>
      </c>
      <c r="C29" t="s">
        <v>359</v>
      </c>
      <c r="D29" t="s">
        <v>345</v>
      </c>
      <c r="E29" s="64" t="s">
        <v>283</v>
      </c>
      <c r="F29" s="65">
        <v>530.26</v>
      </c>
      <c r="G29" s="64" t="s">
        <v>269</v>
      </c>
      <c r="H29" s="64" t="s">
        <v>284</v>
      </c>
      <c r="I29" s="64" t="s">
        <v>283</v>
      </c>
      <c r="J29" s="65">
        <v>530.26</v>
      </c>
      <c r="K29" s="72">
        <v>45.89</v>
      </c>
      <c r="L29" s="34">
        <v>46.189794120000002</v>
      </c>
      <c r="M29" s="64"/>
      <c r="N29" s="73">
        <v>134000</v>
      </c>
      <c r="O29" s="73">
        <v>27400</v>
      </c>
      <c r="P29" s="73">
        <v>4930</v>
      </c>
      <c r="Q29" s="73">
        <v>543000</v>
      </c>
      <c r="R29" s="73">
        <v>183000</v>
      </c>
      <c r="S29" s="73">
        <v>41500</v>
      </c>
      <c r="T29" s="73">
        <v>4840000</v>
      </c>
      <c r="U29" s="73">
        <v>293000</v>
      </c>
      <c r="V29" s="73">
        <v>152000</v>
      </c>
      <c r="W29" s="74">
        <f t="shared" si="5"/>
        <v>1.0534174270951948</v>
      </c>
      <c r="X29" s="65">
        <f t="shared" si="6"/>
        <v>0.84983831363777429</v>
      </c>
      <c r="Y29" s="65">
        <f t="shared" si="3"/>
        <v>0.85427947951184025</v>
      </c>
      <c r="Z29" s="71">
        <f t="shared" si="7"/>
        <v>26.542462738548643</v>
      </c>
      <c r="AA29" s="71">
        <f t="shared" si="4"/>
        <v>21.319787053237292</v>
      </c>
    </row>
    <row r="30" spans="1:27" x14ac:dyDescent="0.2">
      <c r="A30">
        <v>189</v>
      </c>
      <c r="B30" s="64" t="s">
        <v>269</v>
      </c>
      <c r="C30" t="s">
        <v>359</v>
      </c>
      <c r="D30" t="s">
        <v>343</v>
      </c>
      <c r="E30" s="64" t="s">
        <v>252</v>
      </c>
      <c r="F30" s="65">
        <v>532.20000000000005</v>
      </c>
      <c r="G30" s="64" t="s">
        <v>269</v>
      </c>
      <c r="H30" s="64" t="s">
        <v>285</v>
      </c>
      <c r="I30" s="64" t="s">
        <v>252</v>
      </c>
      <c r="J30" s="65">
        <v>532.20000000000005</v>
      </c>
      <c r="K30" s="72">
        <v>46.16</v>
      </c>
      <c r="L30" s="34">
        <v>46.420882349999999</v>
      </c>
      <c r="M30" s="64"/>
      <c r="N30" s="73">
        <v>263000</v>
      </c>
      <c r="O30" s="73">
        <v>89400</v>
      </c>
      <c r="P30" s="73">
        <v>45700</v>
      </c>
      <c r="Q30" s="73">
        <v>1290000</v>
      </c>
      <c r="R30" s="73">
        <v>373000</v>
      </c>
      <c r="S30" s="73">
        <v>90000</v>
      </c>
      <c r="T30" s="73">
        <v>10900000</v>
      </c>
      <c r="U30" s="73">
        <v>691000</v>
      </c>
      <c r="V30" s="73">
        <v>360000</v>
      </c>
      <c r="W30" s="74">
        <f t="shared" si="5"/>
        <v>1.0590620776593525</v>
      </c>
      <c r="X30" s="65">
        <f t="shared" si="6"/>
        <v>0.8474624346728501</v>
      </c>
      <c r="Y30" s="65">
        <f t="shared" si="3"/>
        <v>0.85565976945657618</v>
      </c>
      <c r="Z30" s="71">
        <f t="shared" si="7"/>
        <v>26.370891307527561</v>
      </c>
      <c r="AA30" s="71">
        <f t="shared" si="4"/>
        <v>21.330570872825334</v>
      </c>
    </row>
    <row r="31" spans="1:27" x14ac:dyDescent="0.2">
      <c r="A31">
        <v>189</v>
      </c>
      <c r="B31" s="64" t="s">
        <v>269</v>
      </c>
      <c r="C31" t="s">
        <v>359</v>
      </c>
      <c r="D31" t="s">
        <v>347</v>
      </c>
      <c r="E31" s="64" t="s">
        <v>280</v>
      </c>
      <c r="F31" s="65">
        <v>535.04999999999995</v>
      </c>
      <c r="G31" s="64" t="s">
        <v>269</v>
      </c>
      <c r="H31" s="64" t="s">
        <v>286</v>
      </c>
      <c r="I31" s="64" t="s">
        <v>280</v>
      </c>
      <c r="J31" s="65">
        <v>535.04999999999995</v>
      </c>
      <c r="K31" s="72">
        <v>46.55</v>
      </c>
      <c r="L31" s="34">
        <v>46.760367649999999</v>
      </c>
      <c r="M31" s="64"/>
      <c r="N31" s="73">
        <v>401000</v>
      </c>
      <c r="O31" s="73">
        <v>72900</v>
      </c>
      <c r="P31" s="73">
        <v>12300</v>
      </c>
      <c r="Q31" s="73">
        <v>1660000</v>
      </c>
      <c r="R31" s="73">
        <v>576000</v>
      </c>
      <c r="S31" s="73">
        <v>135000</v>
      </c>
      <c r="T31" s="73">
        <v>15800000</v>
      </c>
      <c r="U31" s="73">
        <v>969000</v>
      </c>
      <c r="V31" s="73">
        <v>519000</v>
      </c>
      <c r="W31" s="74">
        <f t="shared" si="5"/>
        <v>1.0531157556086974</v>
      </c>
      <c r="X31" s="65">
        <f t="shared" si="6"/>
        <v>0.85816968806465066</v>
      </c>
      <c r="Y31" s="65">
        <f t="shared" si="3"/>
        <v>0.86181455633100701</v>
      </c>
      <c r="Z31" s="71">
        <f t="shared" si="7"/>
        <v>26.961852088291209</v>
      </c>
      <c r="AA31" s="71">
        <f t="shared" si="4"/>
        <v>21.555084911959902</v>
      </c>
    </row>
    <row r="32" spans="1:27" x14ac:dyDescent="0.2">
      <c r="A32">
        <v>189</v>
      </c>
      <c r="B32" s="64" t="s">
        <v>269</v>
      </c>
      <c r="C32" t="s">
        <v>360</v>
      </c>
      <c r="D32" t="s">
        <v>349</v>
      </c>
      <c r="E32" s="64" t="s">
        <v>252</v>
      </c>
      <c r="F32" s="69">
        <v>537.4</v>
      </c>
      <c r="G32" s="64" t="s">
        <v>269</v>
      </c>
      <c r="H32" s="64" t="s">
        <v>287</v>
      </c>
      <c r="I32" s="64" t="s">
        <v>252</v>
      </c>
      <c r="J32" s="69">
        <v>537.4</v>
      </c>
      <c r="K32" s="72">
        <v>46.88</v>
      </c>
      <c r="L32" s="34">
        <v>47.040294119999999</v>
      </c>
      <c r="M32" s="64"/>
      <c r="N32" s="73">
        <v>87500</v>
      </c>
      <c r="O32" s="73">
        <v>0</v>
      </c>
      <c r="P32" s="73">
        <v>20600</v>
      </c>
      <c r="Q32" s="73">
        <v>406000</v>
      </c>
      <c r="R32" s="73">
        <v>116000</v>
      </c>
      <c r="S32" s="73">
        <v>30900</v>
      </c>
      <c r="T32" s="73">
        <v>4040000</v>
      </c>
      <c r="U32" s="73">
        <v>238000</v>
      </c>
      <c r="V32" s="73">
        <v>131000</v>
      </c>
      <c r="W32" s="74">
        <f t="shared" si="5"/>
        <v>1.098966196337184</v>
      </c>
      <c r="X32" s="65">
        <f t="shared" si="6"/>
        <v>0.86962524654832352</v>
      </c>
      <c r="Y32" s="65">
        <f t="shared" si="3"/>
        <v>0.87317305026339764</v>
      </c>
      <c r="Z32" s="71">
        <f t="shared" si="7"/>
        <v>27.105928391663504</v>
      </c>
      <c r="AA32" s="71">
        <f t="shared" si="4"/>
        <v>21.647226224933497</v>
      </c>
    </row>
    <row r="33" spans="1:27" x14ac:dyDescent="0.2">
      <c r="A33">
        <v>189</v>
      </c>
      <c r="B33" s="64" t="s">
        <v>269</v>
      </c>
      <c r="C33" t="s">
        <v>360</v>
      </c>
      <c r="D33" t="s">
        <v>345</v>
      </c>
      <c r="E33" s="64" t="s">
        <v>289</v>
      </c>
      <c r="F33" s="65">
        <v>539.95000000000005</v>
      </c>
      <c r="G33" s="64" t="s">
        <v>269</v>
      </c>
      <c r="H33" s="64" t="s">
        <v>288</v>
      </c>
      <c r="I33" s="64" t="s">
        <v>289</v>
      </c>
      <c r="J33" s="65">
        <v>539.95000000000005</v>
      </c>
      <c r="K33" s="72">
        <v>47.23</v>
      </c>
      <c r="L33" s="34">
        <v>47.34404412</v>
      </c>
      <c r="M33" s="64"/>
      <c r="N33" s="73">
        <v>101000</v>
      </c>
      <c r="O33" s="73">
        <v>27400</v>
      </c>
      <c r="P33" s="73">
        <v>3120</v>
      </c>
      <c r="Q33" s="73">
        <v>452000</v>
      </c>
      <c r="R33" s="73">
        <v>154000</v>
      </c>
      <c r="S33" s="73">
        <v>39400</v>
      </c>
      <c r="T33" s="73">
        <v>4060000</v>
      </c>
      <c r="U33" s="73">
        <v>256000</v>
      </c>
      <c r="V33" s="73">
        <v>136000</v>
      </c>
      <c r="W33" s="74">
        <f t="shared" si="5"/>
        <v>1.0415852342555505</v>
      </c>
      <c r="X33" s="65">
        <f t="shared" si="6"/>
        <v>0.85141864859282601</v>
      </c>
      <c r="Y33" s="65">
        <f t="shared" si="3"/>
        <v>0.85641735918744233</v>
      </c>
      <c r="Z33" s="71">
        <f t="shared" si="7"/>
        <v>26.7321104893519</v>
      </c>
      <c r="AA33" s="71">
        <f t="shared" si="4"/>
        <v>21.453149856581739</v>
      </c>
    </row>
    <row r="34" spans="1:27" x14ac:dyDescent="0.2">
      <c r="A34">
        <v>189</v>
      </c>
      <c r="B34" s="64" t="s">
        <v>269</v>
      </c>
      <c r="C34" t="s">
        <v>360</v>
      </c>
      <c r="D34" t="s">
        <v>350</v>
      </c>
      <c r="E34" s="64" t="s">
        <v>252</v>
      </c>
      <c r="F34" s="65">
        <v>540.4</v>
      </c>
      <c r="G34" s="64" t="s">
        <v>269</v>
      </c>
      <c r="H34" s="64" t="s">
        <v>290</v>
      </c>
      <c r="I34" s="64" t="s">
        <v>252</v>
      </c>
      <c r="J34" s="65">
        <v>540.4</v>
      </c>
      <c r="K34" s="72">
        <v>47.27</v>
      </c>
      <c r="L34" s="34">
        <v>47.380440249999999</v>
      </c>
      <c r="M34" s="64"/>
      <c r="N34" s="73">
        <v>31500</v>
      </c>
      <c r="O34" s="73">
        <v>0</v>
      </c>
      <c r="P34" s="73">
        <v>0</v>
      </c>
      <c r="Q34" s="73">
        <v>155000</v>
      </c>
      <c r="R34" s="73">
        <v>41900</v>
      </c>
      <c r="S34" s="73">
        <v>10900</v>
      </c>
      <c r="T34" s="73">
        <v>1340000</v>
      </c>
      <c r="U34" s="73">
        <v>82000</v>
      </c>
      <c r="V34" s="73">
        <v>43400</v>
      </c>
      <c r="W34" s="74">
        <f t="shared" si="5"/>
        <v>1.081569886284385</v>
      </c>
      <c r="X34" s="65">
        <f t="shared" si="6"/>
        <v>0.85962339414559752</v>
      </c>
      <c r="Y34" s="65">
        <f t="shared" si="3"/>
        <v>0.85962339414559752</v>
      </c>
      <c r="Z34" s="71">
        <f t="shared" si="7"/>
        <v>26.768491270520876</v>
      </c>
      <c r="AA34" s="71">
        <f t="shared" si="4"/>
        <v>21.32582396328106</v>
      </c>
    </row>
    <row r="35" spans="1:27" x14ac:dyDescent="0.2">
      <c r="A35">
        <v>189</v>
      </c>
      <c r="B35" s="64" t="s">
        <v>269</v>
      </c>
      <c r="C35" t="s">
        <v>360</v>
      </c>
      <c r="D35" t="s">
        <v>343</v>
      </c>
      <c r="E35" s="64" t="s">
        <v>292</v>
      </c>
      <c r="F35" s="65">
        <v>542.84</v>
      </c>
      <c r="G35" s="64" t="s">
        <v>269</v>
      </c>
      <c r="H35" s="64" t="s">
        <v>291</v>
      </c>
      <c r="I35" s="64" t="s">
        <v>292</v>
      </c>
      <c r="J35" s="65">
        <v>542.84</v>
      </c>
      <c r="K35" s="72">
        <v>47.48</v>
      </c>
      <c r="L35" s="34">
        <v>47.566125790000001</v>
      </c>
      <c r="M35" s="64"/>
      <c r="N35" s="73">
        <v>94000</v>
      </c>
      <c r="O35" s="73">
        <v>12500</v>
      </c>
      <c r="P35" s="73">
        <v>3670</v>
      </c>
      <c r="Q35" s="73">
        <v>471000</v>
      </c>
      <c r="R35" s="73">
        <v>142000</v>
      </c>
      <c r="S35" s="73">
        <v>36400</v>
      </c>
      <c r="T35" s="73">
        <v>4210000</v>
      </c>
      <c r="U35" s="73">
        <v>263000</v>
      </c>
      <c r="V35" s="73">
        <v>136000</v>
      </c>
      <c r="W35" s="74">
        <f t="shared" si="5"/>
        <v>1.0628836179127736</v>
      </c>
      <c r="X35" s="65">
        <f t="shared" si="6"/>
        <v>0.85851539609244176</v>
      </c>
      <c r="Y35" s="65">
        <f t="shared" si="3"/>
        <v>0.86110903519916304</v>
      </c>
      <c r="Z35" s="71">
        <f t="shared" si="7"/>
        <v>26.887807977137655</v>
      </c>
      <c r="AA35" s="71">
        <f t="shared" si="4"/>
        <v>21.477829977608629</v>
      </c>
    </row>
    <row r="36" spans="1:27" x14ac:dyDescent="0.2">
      <c r="A36">
        <v>189</v>
      </c>
      <c r="B36" s="64" t="s">
        <v>269</v>
      </c>
      <c r="C36" t="s">
        <v>360</v>
      </c>
      <c r="D36" t="s">
        <v>347</v>
      </c>
      <c r="E36" s="64" t="s">
        <v>252</v>
      </c>
      <c r="F36" s="65">
        <v>543.29999999999995</v>
      </c>
      <c r="G36" s="64" t="s">
        <v>269</v>
      </c>
      <c r="H36" s="64" t="s">
        <v>293</v>
      </c>
      <c r="I36" s="64" t="s">
        <v>252</v>
      </c>
      <c r="J36" s="65">
        <v>543.29999999999995</v>
      </c>
      <c r="K36" s="72">
        <v>47.52</v>
      </c>
      <c r="L36" s="34">
        <v>47.601132079999999</v>
      </c>
      <c r="M36" s="64"/>
      <c r="N36" s="73">
        <v>36800</v>
      </c>
      <c r="O36" s="73">
        <v>5570</v>
      </c>
      <c r="P36" s="73">
        <v>1370</v>
      </c>
      <c r="Q36" s="73">
        <v>167000</v>
      </c>
      <c r="R36" s="73">
        <v>59900</v>
      </c>
      <c r="S36" s="73">
        <v>14800</v>
      </c>
      <c r="T36" s="73">
        <v>1700000</v>
      </c>
      <c r="U36" s="73">
        <v>105000</v>
      </c>
      <c r="V36" s="73">
        <v>55000</v>
      </c>
      <c r="W36" s="74">
        <f t="shared" si="5"/>
        <v>1.0539236623045596</v>
      </c>
      <c r="X36" s="65">
        <f t="shared" si="6"/>
        <v>0.86695503020359455</v>
      </c>
      <c r="Y36" s="65">
        <f t="shared" si="3"/>
        <v>0.86976852934299742</v>
      </c>
      <c r="Z36" s="71">
        <f t="shared" si="7"/>
        <v>27.393565267632098</v>
      </c>
      <c r="AA36" s="71">
        <f t="shared" si="4"/>
        <v>21.797077244366065</v>
      </c>
    </row>
    <row r="37" spans="1:27" x14ac:dyDescent="0.2">
      <c r="A37">
        <v>189</v>
      </c>
      <c r="B37" s="64" t="s">
        <v>269</v>
      </c>
      <c r="C37" t="s">
        <v>361</v>
      </c>
      <c r="D37" t="s">
        <v>353</v>
      </c>
      <c r="E37" s="64" t="s">
        <v>295</v>
      </c>
      <c r="F37" s="65">
        <v>546.45000000000005</v>
      </c>
      <c r="G37" s="64" t="s">
        <v>269</v>
      </c>
      <c r="H37" s="64" t="s">
        <v>294</v>
      </c>
      <c r="I37" s="64" t="s">
        <v>295</v>
      </c>
      <c r="J37" s="65">
        <v>546.45000000000005</v>
      </c>
      <c r="K37" s="72">
        <v>47.79</v>
      </c>
      <c r="L37" s="34">
        <v>47.840849059999996</v>
      </c>
      <c r="M37" s="64"/>
      <c r="N37" s="73">
        <v>190000</v>
      </c>
      <c r="O37" s="73">
        <v>64700</v>
      </c>
      <c r="P37" s="73">
        <v>40000</v>
      </c>
      <c r="Q37" s="73">
        <v>1020000</v>
      </c>
      <c r="R37" s="73">
        <v>279000</v>
      </c>
      <c r="S37" s="73">
        <v>70200</v>
      </c>
      <c r="T37" s="73">
        <v>8740000</v>
      </c>
      <c r="U37" s="73">
        <v>537000</v>
      </c>
      <c r="V37" s="73">
        <v>293000</v>
      </c>
      <c r="W37" s="74">
        <f t="shared" si="5"/>
        <v>1.0777596589128307</v>
      </c>
      <c r="X37" s="65">
        <f t="shared" si="6"/>
        <v>0.85188580991463336</v>
      </c>
      <c r="Y37" s="65">
        <f t="shared" si="3"/>
        <v>0.85990008266542073</v>
      </c>
      <c r="Z37" s="71">
        <f t="shared" si="7"/>
        <v>26.417237684896698</v>
      </c>
      <c r="AA37" s="71">
        <f t="shared" si="4"/>
        <v>21.356005296592294</v>
      </c>
    </row>
    <row r="38" spans="1:27" x14ac:dyDescent="0.2">
      <c r="A38">
        <v>189</v>
      </c>
      <c r="B38" s="64" t="s">
        <v>269</v>
      </c>
      <c r="C38" t="s">
        <v>361</v>
      </c>
      <c r="D38" t="s">
        <v>349</v>
      </c>
      <c r="E38" s="64" t="s">
        <v>252</v>
      </c>
      <c r="F38" s="65">
        <v>547.45000000000005</v>
      </c>
      <c r="G38" s="64" t="s">
        <v>269</v>
      </c>
      <c r="H38" s="64" t="s">
        <v>296</v>
      </c>
      <c r="I38" s="64" t="s">
        <v>252</v>
      </c>
      <c r="J38" s="65">
        <v>547.45000000000005</v>
      </c>
      <c r="K38" s="72">
        <v>47.88</v>
      </c>
      <c r="L38" s="34">
        <v>47.916949690000003</v>
      </c>
      <c r="M38" s="64"/>
      <c r="N38" s="73">
        <v>58000</v>
      </c>
      <c r="O38" s="73">
        <v>9140</v>
      </c>
      <c r="P38" s="73">
        <v>0</v>
      </c>
      <c r="Q38" s="73">
        <v>214000</v>
      </c>
      <c r="R38" s="73">
        <v>72000</v>
      </c>
      <c r="S38" s="73">
        <v>19200</v>
      </c>
      <c r="T38" s="73">
        <v>2080000</v>
      </c>
      <c r="U38" s="73">
        <v>127000</v>
      </c>
      <c r="V38" s="73">
        <v>63500</v>
      </c>
      <c r="W38" s="74">
        <f t="shared" si="5"/>
        <v>1.0617403371555423</v>
      </c>
      <c r="X38" s="65">
        <f t="shared" si="6"/>
        <v>0.85911368073738859</v>
      </c>
      <c r="Y38" s="65">
        <f t="shared" si="3"/>
        <v>0.8620951513080457</v>
      </c>
      <c r="Z38" s="71">
        <f t="shared" si="7"/>
        <v>26.92841188446511</v>
      </c>
      <c r="AA38" s="71">
        <f t="shared" si="4"/>
        <v>21.51488197887749</v>
      </c>
    </row>
    <row r="39" spans="1:27" x14ac:dyDescent="0.2">
      <c r="A39">
        <v>189</v>
      </c>
      <c r="B39" s="64" t="s">
        <v>269</v>
      </c>
      <c r="C39" t="s">
        <v>361</v>
      </c>
      <c r="D39" t="s">
        <v>349</v>
      </c>
      <c r="E39" s="64" t="s">
        <v>297</v>
      </c>
      <c r="F39" s="65">
        <v>548</v>
      </c>
      <c r="G39" s="64" t="s">
        <v>269</v>
      </c>
      <c r="H39" s="64" t="s">
        <v>296</v>
      </c>
      <c r="I39" s="64" t="s">
        <v>297</v>
      </c>
      <c r="J39" s="65">
        <v>548</v>
      </c>
      <c r="K39" s="72">
        <v>47.92</v>
      </c>
      <c r="L39" s="34">
        <v>47.958805030000001</v>
      </c>
      <c r="M39" s="64"/>
      <c r="N39" s="73">
        <v>141000</v>
      </c>
      <c r="O39" s="73">
        <v>10200</v>
      </c>
      <c r="P39" s="73">
        <v>0</v>
      </c>
      <c r="Q39" s="73">
        <v>445000</v>
      </c>
      <c r="R39" s="73">
        <v>91600</v>
      </c>
      <c r="S39" s="73">
        <v>21000</v>
      </c>
      <c r="T39" s="73">
        <v>2570000</v>
      </c>
      <c r="U39" s="73">
        <v>160000</v>
      </c>
      <c r="V39" s="73">
        <v>85300</v>
      </c>
      <c r="W39" s="74">
        <f t="shared" si="5"/>
        <v>1.0785766797029388</v>
      </c>
      <c r="X39" s="65">
        <f t="shared" si="6"/>
        <v>0.79887063363695698</v>
      </c>
      <c r="Y39" s="65">
        <f t="shared" si="3"/>
        <v>0.80118956145593212</v>
      </c>
      <c r="Z39" s="71">
        <f t="shared" si="7"/>
        <v>23.758839726625371</v>
      </c>
      <c r="AA39" s="71">
        <f t="shared" si="4"/>
        <v>19.531346631218234</v>
      </c>
    </row>
    <row r="40" spans="1:27" x14ac:dyDescent="0.2">
      <c r="A40">
        <v>189</v>
      </c>
      <c r="B40" s="64" t="s">
        <v>269</v>
      </c>
      <c r="C40" t="s">
        <v>361</v>
      </c>
      <c r="D40" t="s">
        <v>345</v>
      </c>
      <c r="E40" s="64" t="s">
        <v>299</v>
      </c>
      <c r="F40" s="65">
        <v>549.52</v>
      </c>
      <c r="G40" s="64" t="s">
        <v>269</v>
      </c>
      <c r="H40" s="64" t="s">
        <v>298</v>
      </c>
      <c r="I40" s="64" t="s">
        <v>299</v>
      </c>
      <c r="J40" s="65">
        <v>549.52</v>
      </c>
      <c r="K40" s="72">
        <v>48.05</v>
      </c>
      <c r="L40" s="34">
        <v>48.074477989999998</v>
      </c>
      <c r="M40" s="64"/>
      <c r="N40" s="73">
        <v>95400</v>
      </c>
      <c r="O40" s="73">
        <v>21700</v>
      </c>
      <c r="P40" s="73">
        <v>1590</v>
      </c>
      <c r="Q40" s="73">
        <v>394000</v>
      </c>
      <c r="R40" s="73">
        <v>133000</v>
      </c>
      <c r="S40" s="73">
        <v>32400</v>
      </c>
      <c r="T40" s="73">
        <v>3570000</v>
      </c>
      <c r="U40" s="73">
        <v>229000</v>
      </c>
      <c r="V40" s="73">
        <v>125000</v>
      </c>
      <c r="W40" s="74">
        <f t="shared" si="5"/>
        <v>1.039425075280072</v>
      </c>
      <c r="X40" s="65">
        <f t="shared" si="6"/>
        <v>0.852656075826418</v>
      </c>
      <c r="Y40" s="65">
        <f t="shared" si="3"/>
        <v>0.85699309862846162</v>
      </c>
      <c r="Z40" s="71">
        <f t="shared" si="7"/>
        <v>26.814179337452227</v>
      </c>
      <c r="AA40" s="71">
        <f t="shared" si="4"/>
        <v>21.483245880644304</v>
      </c>
    </row>
    <row r="41" spans="1:27" x14ac:dyDescent="0.2">
      <c r="A41">
        <v>189</v>
      </c>
      <c r="B41" s="64" t="s">
        <v>269</v>
      </c>
      <c r="C41" t="s">
        <v>361</v>
      </c>
      <c r="D41" t="s">
        <v>350</v>
      </c>
      <c r="E41" s="64" t="s">
        <v>252</v>
      </c>
      <c r="F41" s="65">
        <v>550</v>
      </c>
      <c r="G41" s="64" t="s">
        <v>269</v>
      </c>
      <c r="H41" s="64" t="s">
        <v>300</v>
      </c>
      <c r="I41" s="64" t="s">
        <v>252</v>
      </c>
      <c r="J41" s="65">
        <v>550</v>
      </c>
      <c r="K41" s="72">
        <v>48.1</v>
      </c>
      <c r="L41" s="34">
        <v>48.111006289999999</v>
      </c>
      <c r="M41" s="64"/>
      <c r="N41" s="73">
        <v>140000</v>
      </c>
      <c r="O41" s="73">
        <v>0</v>
      </c>
      <c r="P41" s="73">
        <v>31100</v>
      </c>
      <c r="Q41" s="73">
        <v>517000</v>
      </c>
      <c r="R41" s="73">
        <v>181000</v>
      </c>
      <c r="S41" s="73">
        <v>50300</v>
      </c>
      <c r="T41" s="73">
        <v>4480000</v>
      </c>
      <c r="U41" s="73">
        <v>289000</v>
      </c>
      <c r="V41" s="73">
        <v>167000</v>
      </c>
      <c r="W41" s="74">
        <f t="shared" si="5"/>
        <v>1.0266114915068694</v>
      </c>
      <c r="X41" s="65">
        <f t="shared" si="6"/>
        <v>0.84298254602589062</v>
      </c>
      <c r="Y41" s="65">
        <f t="shared" si="3"/>
        <v>0.84748381779784698</v>
      </c>
      <c r="Z41" s="71">
        <f t="shared" si="7"/>
        <v>26.450309855705299</v>
      </c>
      <c r="AA41" s="71">
        <f t="shared" si="4"/>
        <v>21.261111194889306</v>
      </c>
    </row>
    <row r="42" spans="1:27" x14ac:dyDescent="0.2">
      <c r="A42">
        <v>189</v>
      </c>
      <c r="B42" s="64" t="s">
        <v>269</v>
      </c>
      <c r="C42" t="s">
        <v>361</v>
      </c>
      <c r="D42" t="s">
        <v>347</v>
      </c>
      <c r="E42" s="64" t="s">
        <v>302</v>
      </c>
      <c r="F42" s="65">
        <v>553.5</v>
      </c>
      <c r="G42" s="64" t="s">
        <v>269</v>
      </c>
      <c r="H42" s="64" t="s">
        <v>301</v>
      </c>
      <c r="I42" s="64" t="s">
        <v>302</v>
      </c>
      <c r="J42" s="65">
        <v>553.5</v>
      </c>
      <c r="K42" s="72">
        <v>48.39</v>
      </c>
      <c r="L42" s="34">
        <v>48.377358489999999</v>
      </c>
      <c r="M42" s="64"/>
      <c r="N42" s="73">
        <v>123000</v>
      </c>
      <c r="O42" s="73">
        <v>30900</v>
      </c>
      <c r="P42" s="73">
        <v>0</v>
      </c>
      <c r="Q42" s="73">
        <v>518000</v>
      </c>
      <c r="R42" s="73">
        <v>222000</v>
      </c>
      <c r="S42" s="73">
        <v>56100</v>
      </c>
      <c r="T42" s="73">
        <v>4900000</v>
      </c>
      <c r="U42" s="73">
        <v>319000</v>
      </c>
      <c r="V42" s="73">
        <v>165000</v>
      </c>
      <c r="W42" s="74">
        <f t="shared" ref="W42:W71" si="8">-LOG((U42+R42)/(T42+Q42))</f>
        <v>1.0006417355905799</v>
      </c>
      <c r="X42" s="65">
        <f t="shared" ref="X42:X71" si="9">SUM(T42:V42)/SUM(N42:V42)</f>
        <v>0.85001578781180931</v>
      </c>
      <c r="Y42" s="65">
        <f t="shared" si="3"/>
        <v>0.8541828624010408</v>
      </c>
      <c r="Z42" s="71">
        <f t="shared" ref="Z42:Z71" si="10">50*(X42-0.122-(0.187*W42))</f>
        <v>27.044789162818546</v>
      </c>
      <c r="AA42" s="71">
        <f t="shared" si="4"/>
        <v>21.616030093633679</v>
      </c>
    </row>
    <row r="43" spans="1:27" x14ac:dyDescent="0.2">
      <c r="A43">
        <v>189</v>
      </c>
      <c r="B43" s="64" t="s">
        <v>269</v>
      </c>
      <c r="C43" t="s">
        <v>361</v>
      </c>
      <c r="D43" t="s">
        <v>351</v>
      </c>
      <c r="E43" s="64" t="s">
        <v>252</v>
      </c>
      <c r="F43" s="65">
        <v>554.5</v>
      </c>
      <c r="G43" s="64" t="s">
        <v>269</v>
      </c>
      <c r="H43" s="64" t="s">
        <v>303</v>
      </c>
      <c r="I43" s="64" t="s">
        <v>252</v>
      </c>
      <c r="J43" s="65">
        <v>554.5</v>
      </c>
      <c r="K43" s="72">
        <v>48.48</v>
      </c>
      <c r="L43" s="34">
        <v>48.453459119999998</v>
      </c>
      <c r="M43" s="64"/>
      <c r="N43" s="73">
        <v>82800</v>
      </c>
      <c r="O43" s="73">
        <v>0</v>
      </c>
      <c r="P43" s="73">
        <v>19700</v>
      </c>
      <c r="Q43" s="73">
        <v>375000</v>
      </c>
      <c r="R43" s="73">
        <v>130000</v>
      </c>
      <c r="S43" s="73">
        <v>0</v>
      </c>
      <c r="T43" s="73">
        <v>3800000</v>
      </c>
      <c r="U43" s="73">
        <v>240000</v>
      </c>
      <c r="V43" s="73">
        <v>129000</v>
      </c>
      <c r="W43" s="74">
        <f t="shared" si="8"/>
        <v>1.0524547557526258</v>
      </c>
      <c r="X43" s="65">
        <f t="shared" si="9"/>
        <v>0.87281482256882659</v>
      </c>
      <c r="Y43" s="65">
        <f t="shared" si="3"/>
        <v>0.87642953245879585</v>
      </c>
      <c r="Z43" s="71">
        <f t="shared" si="10"/>
        <v>27.700289162154277</v>
      </c>
      <c r="AA43" s="71">
        <f t="shared" si="4"/>
        <v>22.011897041105282</v>
      </c>
    </row>
    <row r="44" spans="1:27" x14ac:dyDescent="0.2">
      <c r="A44">
        <v>189</v>
      </c>
      <c r="B44" s="64" t="s">
        <v>269</v>
      </c>
      <c r="C44" t="s">
        <v>362</v>
      </c>
      <c r="D44" t="s">
        <v>353</v>
      </c>
      <c r="E44" s="64" t="s">
        <v>305</v>
      </c>
      <c r="F44" s="65">
        <v>556.23</v>
      </c>
      <c r="G44" s="64" t="s">
        <v>269</v>
      </c>
      <c r="H44" s="64" t="s">
        <v>304</v>
      </c>
      <c r="I44" s="64" t="s">
        <v>305</v>
      </c>
      <c r="J44" s="65">
        <v>556.23</v>
      </c>
      <c r="K44" s="72">
        <v>48.62</v>
      </c>
      <c r="L44" s="34">
        <v>48.578255319999997</v>
      </c>
      <c r="M44" s="64"/>
      <c r="N44" s="73">
        <v>60000</v>
      </c>
      <c r="O44" s="73">
        <v>12000</v>
      </c>
      <c r="P44" s="73">
        <v>1950</v>
      </c>
      <c r="Q44" s="73">
        <v>255000</v>
      </c>
      <c r="R44" s="73">
        <v>88000</v>
      </c>
      <c r="S44" s="73">
        <v>21800</v>
      </c>
      <c r="T44" s="73">
        <v>2620000</v>
      </c>
      <c r="U44" s="73">
        <v>156000</v>
      </c>
      <c r="V44" s="73">
        <v>86500</v>
      </c>
      <c r="W44" s="74">
        <f t="shared" si="8"/>
        <v>1.0712480226869199</v>
      </c>
      <c r="X44" s="65">
        <f t="shared" si="9"/>
        <v>0.86709579704657325</v>
      </c>
      <c r="Y44" s="65">
        <f t="shared" si="3"/>
        <v>0.870775408389864</v>
      </c>
      <c r="Z44" s="71">
        <f t="shared" si="10"/>
        <v>27.238620840205961</v>
      </c>
      <c r="AA44" s="71">
        <f t="shared" si="4"/>
        <v>21.730061371450951</v>
      </c>
    </row>
    <row r="45" spans="1:27" x14ac:dyDescent="0.2">
      <c r="A45">
        <v>189</v>
      </c>
      <c r="B45" s="64" t="s">
        <v>269</v>
      </c>
      <c r="C45" t="s">
        <v>362</v>
      </c>
      <c r="D45" t="s">
        <v>349</v>
      </c>
      <c r="E45" s="64" t="s">
        <v>252</v>
      </c>
      <c r="F45" s="65">
        <v>556.70000000000005</v>
      </c>
      <c r="G45" s="64" t="s">
        <v>269</v>
      </c>
      <c r="H45" s="64" t="s">
        <v>306</v>
      </c>
      <c r="I45" s="64" t="s">
        <v>252</v>
      </c>
      <c r="J45" s="65">
        <v>556.70000000000005</v>
      </c>
      <c r="K45" s="72">
        <v>48.65</v>
      </c>
      <c r="L45" s="34">
        <v>48.60425532</v>
      </c>
      <c r="M45" s="64"/>
      <c r="N45" s="73">
        <v>128000</v>
      </c>
      <c r="O45" s="73">
        <v>48800</v>
      </c>
      <c r="P45" s="73">
        <v>24900</v>
      </c>
      <c r="Q45" s="73">
        <v>529000</v>
      </c>
      <c r="R45" s="73">
        <v>173000</v>
      </c>
      <c r="S45" s="73">
        <v>45100</v>
      </c>
      <c r="T45" s="73">
        <v>5630000</v>
      </c>
      <c r="U45" s="73">
        <v>335000</v>
      </c>
      <c r="V45" s="73">
        <v>174000</v>
      </c>
      <c r="W45" s="74">
        <f t="shared" si="8"/>
        <v>1.0836464918063351</v>
      </c>
      <c r="X45" s="65">
        <f t="shared" si="9"/>
        <v>0.86613617765738316</v>
      </c>
      <c r="Y45" s="65">
        <f t="shared" si="3"/>
        <v>0.87523702256882563</v>
      </c>
      <c r="Z45" s="71">
        <f t="shared" si="10"/>
        <v>27.074714184479927</v>
      </c>
      <c r="AA45" s="71">
        <f t="shared" si="4"/>
        <v>21.798072091091676</v>
      </c>
    </row>
    <row r="46" spans="1:27" x14ac:dyDescent="0.2">
      <c r="A46">
        <v>189</v>
      </c>
      <c r="B46" s="64" t="s">
        <v>269</v>
      </c>
      <c r="C46" t="s">
        <v>362</v>
      </c>
      <c r="D46" t="s">
        <v>345</v>
      </c>
      <c r="E46" s="64" t="s">
        <v>297</v>
      </c>
      <c r="F46" s="65">
        <v>559.20000000000005</v>
      </c>
      <c r="G46" s="64" t="s">
        <v>269</v>
      </c>
      <c r="H46" s="64" t="s">
        <v>307</v>
      </c>
      <c r="I46" s="64" t="s">
        <v>297</v>
      </c>
      <c r="J46" s="65">
        <v>559.20000000000005</v>
      </c>
      <c r="K46" s="72">
        <v>48.79</v>
      </c>
      <c r="L46" s="34">
        <v>48.742553190000002</v>
      </c>
      <c r="M46" s="64"/>
      <c r="N46" s="73">
        <v>59500</v>
      </c>
      <c r="O46" s="73">
        <v>9350</v>
      </c>
      <c r="P46" s="73">
        <v>1810</v>
      </c>
      <c r="Q46" s="73">
        <v>290000</v>
      </c>
      <c r="R46" s="73">
        <v>83500</v>
      </c>
      <c r="S46" s="73">
        <v>19400</v>
      </c>
      <c r="T46" s="73">
        <v>2680000</v>
      </c>
      <c r="U46" s="73">
        <v>164000</v>
      </c>
      <c r="V46" s="73">
        <v>84700</v>
      </c>
      <c r="W46" s="74">
        <f t="shared" si="8"/>
        <v>1.0791812460476249</v>
      </c>
      <c r="X46" s="65">
        <f t="shared" si="9"/>
        <v>0.86334773867569115</v>
      </c>
      <c r="Y46" s="65">
        <f t="shared" si="3"/>
        <v>0.86619739138150309</v>
      </c>
      <c r="Z46" s="71">
        <f t="shared" si="10"/>
        <v>26.977042283239268</v>
      </c>
      <c r="AA46" s="71">
        <f t="shared" si="4"/>
        <v>21.54316146773656</v>
      </c>
    </row>
    <row r="47" spans="1:27" x14ac:dyDescent="0.2">
      <c r="A47">
        <v>189</v>
      </c>
      <c r="B47" s="64" t="s">
        <v>269</v>
      </c>
      <c r="C47" t="s">
        <v>362</v>
      </c>
      <c r="D47" t="s">
        <v>350</v>
      </c>
      <c r="E47" s="64" t="s">
        <v>276</v>
      </c>
      <c r="F47" s="65">
        <v>560.74</v>
      </c>
      <c r="G47" s="64" t="s">
        <v>269</v>
      </c>
      <c r="H47" s="64" t="s">
        <v>308</v>
      </c>
      <c r="I47" s="64" t="s">
        <v>276</v>
      </c>
      <c r="J47" s="65">
        <v>560.74</v>
      </c>
      <c r="K47" s="72">
        <v>48.88</v>
      </c>
      <c r="L47" s="34">
        <v>48.827744680000002</v>
      </c>
      <c r="M47" s="64"/>
      <c r="N47" s="73">
        <v>243000</v>
      </c>
      <c r="O47" s="73">
        <v>47500</v>
      </c>
      <c r="P47" s="73">
        <v>0</v>
      </c>
      <c r="Q47" s="73">
        <v>1170000</v>
      </c>
      <c r="R47" s="73">
        <v>311000</v>
      </c>
      <c r="S47" s="73">
        <v>75600</v>
      </c>
      <c r="T47" s="73">
        <v>11600000</v>
      </c>
      <c r="U47" s="73">
        <v>688000</v>
      </c>
      <c r="V47" s="73">
        <v>366000</v>
      </c>
      <c r="W47" s="74">
        <f t="shared" si="8"/>
        <v>1.106625409037433</v>
      </c>
      <c r="X47" s="65">
        <f t="shared" si="9"/>
        <v>0.87262345615160231</v>
      </c>
      <c r="Y47" s="65">
        <f t="shared" si="3"/>
        <v>0.87549122709913096</v>
      </c>
      <c r="Z47" s="71">
        <f t="shared" si="10"/>
        <v>27.184225233080117</v>
      </c>
      <c r="AA47" s="71">
        <f t="shared" si="4"/>
        <v>21.675661970830813</v>
      </c>
    </row>
    <row r="48" spans="1:27" x14ac:dyDescent="0.2">
      <c r="A48">
        <v>189</v>
      </c>
      <c r="B48" s="64" t="s">
        <v>269</v>
      </c>
      <c r="C48" t="s">
        <v>362</v>
      </c>
      <c r="D48" t="s">
        <v>343</v>
      </c>
      <c r="E48" s="64" t="s">
        <v>268</v>
      </c>
      <c r="F48" s="65">
        <v>561.95000000000005</v>
      </c>
      <c r="G48" s="64" t="s">
        <v>269</v>
      </c>
      <c r="H48" s="64" t="s">
        <v>309</v>
      </c>
      <c r="I48" s="64" t="s">
        <v>268</v>
      </c>
      <c r="J48" s="65">
        <v>561.95000000000005</v>
      </c>
      <c r="K48" s="72">
        <v>48.96</v>
      </c>
      <c r="L48" s="34">
        <v>48.89468085</v>
      </c>
      <c r="M48" s="64"/>
      <c r="N48" s="73">
        <v>33700</v>
      </c>
      <c r="O48" s="73">
        <v>3690</v>
      </c>
      <c r="P48" s="73">
        <v>0</v>
      </c>
      <c r="Q48" s="73">
        <v>151000</v>
      </c>
      <c r="R48" s="73">
        <v>45500</v>
      </c>
      <c r="S48" s="73">
        <v>11400</v>
      </c>
      <c r="T48" s="73">
        <v>1510000</v>
      </c>
      <c r="U48" s="73">
        <v>93400</v>
      </c>
      <c r="V48" s="73">
        <v>48200</v>
      </c>
      <c r="W48" s="74">
        <f t="shared" si="8"/>
        <v>1.0776673867137789</v>
      </c>
      <c r="X48" s="65">
        <f t="shared" si="9"/>
        <v>0.87068833722566941</v>
      </c>
      <c r="Y48" s="65">
        <f t="shared" si="3"/>
        <v>0.87238537925206006</v>
      </c>
      <c r="Z48" s="71">
        <f t="shared" si="10"/>
        <v>27.358226795509637</v>
      </c>
      <c r="AA48" s="71">
        <f t="shared" si="4"/>
        <v>21.743572674146737</v>
      </c>
    </row>
    <row r="49" spans="1:27" x14ac:dyDescent="0.2">
      <c r="A49">
        <v>189</v>
      </c>
      <c r="B49" s="64" t="s">
        <v>269</v>
      </c>
      <c r="C49" t="s">
        <v>362</v>
      </c>
      <c r="D49" t="s">
        <v>347</v>
      </c>
      <c r="E49" s="64" t="s">
        <v>252</v>
      </c>
      <c r="F49" s="65">
        <v>562.70000000000005</v>
      </c>
      <c r="G49" s="64" t="s">
        <v>269</v>
      </c>
      <c r="H49" s="64" t="s">
        <v>310</v>
      </c>
      <c r="I49" s="64" t="s">
        <v>252</v>
      </c>
      <c r="J49" s="65">
        <v>562.70000000000005</v>
      </c>
      <c r="K49" s="72">
        <v>49</v>
      </c>
      <c r="L49" s="34">
        <v>48.93617021</v>
      </c>
      <c r="M49" s="64"/>
      <c r="N49" s="73">
        <v>143000</v>
      </c>
      <c r="O49" s="73">
        <v>0</v>
      </c>
      <c r="P49" s="73">
        <v>0</v>
      </c>
      <c r="Q49" s="73">
        <v>653000</v>
      </c>
      <c r="R49" s="73">
        <v>190000</v>
      </c>
      <c r="S49" s="73">
        <v>47100</v>
      </c>
      <c r="T49" s="73">
        <v>7180000</v>
      </c>
      <c r="U49" s="73">
        <v>422000</v>
      </c>
      <c r="V49" s="73">
        <v>230000</v>
      </c>
      <c r="W49" s="74">
        <f t="shared" si="8"/>
        <v>1.1071767043970457</v>
      </c>
      <c r="X49" s="65">
        <f t="shared" si="9"/>
        <v>0.88346437152429191</v>
      </c>
      <c r="Y49" s="65">
        <f t="shared" si="3"/>
        <v>0.88346437152429191</v>
      </c>
      <c r="Z49" s="71">
        <f t="shared" si="10"/>
        <v>27.721116390102218</v>
      </c>
      <c r="AA49" s="71">
        <f t="shared" si="4"/>
        <v>21.9197036033218</v>
      </c>
    </row>
    <row r="50" spans="1:27" x14ac:dyDescent="0.2">
      <c r="A50">
        <v>189</v>
      </c>
      <c r="B50" s="64" t="s">
        <v>269</v>
      </c>
      <c r="C50" t="s">
        <v>363</v>
      </c>
      <c r="D50" t="s">
        <v>353</v>
      </c>
      <c r="E50" s="64" t="s">
        <v>305</v>
      </c>
      <c r="F50" s="65">
        <v>565.83000000000004</v>
      </c>
      <c r="G50" s="64" t="s">
        <v>269</v>
      </c>
      <c r="H50" s="64" t="s">
        <v>311</v>
      </c>
      <c r="I50" s="64" t="s">
        <v>305</v>
      </c>
      <c r="J50" s="65">
        <v>565.83000000000004</v>
      </c>
      <c r="K50" s="72">
        <v>49.18</v>
      </c>
      <c r="L50" s="34">
        <v>49.109319149999997</v>
      </c>
      <c r="M50" s="64"/>
      <c r="N50" s="73">
        <v>50800</v>
      </c>
      <c r="O50" s="73">
        <v>7700</v>
      </c>
      <c r="P50" s="73">
        <v>0</v>
      </c>
      <c r="Q50" s="73">
        <v>237000</v>
      </c>
      <c r="R50" s="73">
        <v>77600</v>
      </c>
      <c r="S50" s="73">
        <v>18700</v>
      </c>
      <c r="T50" s="73">
        <v>2980000</v>
      </c>
      <c r="U50" s="73">
        <v>178000</v>
      </c>
      <c r="V50" s="73">
        <v>94100</v>
      </c>
      <c r="W50" s="74">
        <f t="shared" si="8"/>
        <v>1.0998902114156073</v>
      </c>
      <c r="X50" s="65">
        <f t="shared" si="9"/>
        <v>0.8924778396772689</v>
      </c>
      <c r="Y50" s="65">
        <f t="shared" si="3"/>
        <v>0.89436774654859463</v>
      </c>
      <c r="Z50" s="71">
        <f t="shared" si="10"/>
        <v>28.239918507127516</v>
      </c>
      <c r="AA50" s="71">
        <f t="shared" si="4"/>
        <v>22.299022644279937</v>
      </c>
    </row>
    <row r="51" spans="1:27" x14ac:dyDescent="0.2">
      <c r="A51">
        <v>189</v>
      </c>
      <c r="B51" s="64" t="s">
        <v>269</v>
      </c>
      <c r="C51" t="s">
        <v>363</v>
      </c>
      <c r="D51" t="s">
        <v>345</v>
      </c>
      <c r="E51" s="64" t="s">
        <v>313</v>
      </c>
      <c r="F51" s="65">
        <v>568</v>
      </c>
      <c r="G51" s="64" t="s">
        <v>269</v>
      </c>
      <c r="H51" s="64" t="s">
        <v>312</v>
      </c>
      <c r="I51" s="64" t="s">
        <v>313</v>
      </c>
      <c r="J51" s="65">
        <f>J52-1.13+0.3</f>
        <v>568</v>
      </c>
      <c r="K51" s="72">
        <v>49.31</v>
      </c>
      <c r="L51" s="34">
        <v>49.229361699999998</v>
      </c>
      <c r="M51" s="68"/>
      <c r="N51" s="75">
        <v>27300</v>
      </c>
      <c r="O51" s="75">
        <v>10300</v>
      </c>
      <c r="P51" s="75">
        <v>1690</v>
      </c>
      <c r="Q51" s="75">
        <v>149000</v>
      </c>
      <c r="R51" s="75">
        <v>35400</v>
      </c>
      <c r="S51" s="75">
        <v>9450</v>
      </c>
      <c r="T51" s="75">
        <v>1420000</v>
      </c>
      <c r="U51" s="75">
        <v>81500</v>
      </c>
      <c r="V51" s="75">
        <v>40600</v>
      </c>
      <c r="W51" s="74">
        <f t="shared" si="8"/>
        <v>1.1278084324250965</v>
      </c>
      <c r="X51" s="65">
        <f t="shared" si="9"/>
        <v>0.86867127824970147</v>
      </c>
      <c r="Y51" s="65">
        <f t="shared" si="3"/>
        <v>0.87457819367644973</v>
      </c>
      <c r="Z51" s="71">
        <f t="shared" si="10"/>
        <v>26.788555069310423</v>
      </c>
      <c r="AA51" s="71">
        <f t="shared" si="4"/>
        <v>21.527250192119645</v>
      </c>
    </row>
    <row r="52" spans="1:27" x14ac:dyDescent="0.2">
      <c r="A52">
        <v>189</v>
      </c>
      <c r="B52" s="64" t="s">
        <v>269</v>
      </c>
      <c r="C52" t="s">
        <v>363</v>
      </c>
      <c r="D52" t="s">
        <v>345</v>
      </c>
      <c r="E52" s="64" t="s">
        <v>305</v>
      </c>
      <c r="F52" s="65">
        <v>568.83000000000004</v>
      </c>
      <c r="G52" s="64" t="s">
        <v>269</v>
      </c>
      <c r="H52" s="64" t="s">
        <v>312</v>
      </c>
      <c r="I52" s="64" t="s">
        <v>305</v>
      </c>
      <c r="J52" s="65">
        <v>568.83000000000004</v>
      </c>
      <c r="K52" s="72">
        <v>49.36</v>
      </c>
      <c r="L52" s="34">
        <v>49.275276599999998</v>
      </c>
      <c r="M52" s="67"/>
      <c r="N52" s="73">
        <v>96300</v>
      </c>
      <c r="O52" s="73">
        <v>12300</v>
      </c>
      <c r="P52" s="73">
        <v>0</v>
      </c>
      <c r="Q52" s="73">
        <v>365000</v>
      </c>
      <c r="R52" s="73">
        <v>135000</v>
      </c>
      <c r="S52" s="73">
        <v>35400</v>
      </c>
      <c r="T52" s="73">
        <v>5910000</v>
      </c>
      <c r="U52" s="73">
        <v>321000</v>
      </c>
      <c r="V52" s="73">
        <v>187000</v>
      </c>
      <c r="W52" s="74">
        <f t="shared" si="8"/>
        <v>1.1386488874886407</v>
      </c>
      <c r="X52" s="65">
        <f t="shared" si="9"/>
        <v>0.90880770320022652</v>
      </c>
      <c r="Y52" s="65">
        <f t="shared" si="3"/>
        <v>0.91039335007163424</v>
      </c>
      <c r="Z52" s="71">
        <f t="shared" si="10"/>
        <v>28.694018061992537</v>
      </c>
      <c r="AA52" s="71">
        <f t="shared" si="4"/>
        <v>22.576054660160068</v>
      </c>
    </row>
    <row r="53" spans="1:27" x14ac:dyDescent="0.2">
      <c r="A53">
        <v>189</v>
      </c>
      <c r="B53" s="64" t="s">
        <v>269</v>
      </c>
      <c r="C53" t="s">
        <v>363</v>
      </c>
      <c r="D53" t="s">
        <v>345</v>
      </c>
      <c r="E53" s="64" t="s">
        <v>314</v>
      </c>
      <c r="F53" s="65">
        <v>569.04999999999995</v>
      </c>
      <c r="G53" s="64" t="s">
        <v>269</v>
      </c>
      <c r="H53" s="64" t="s">
        <v>312</v>
      </c>
      <c r="I53" s="64" t="s">
        <v>314</v>
      </c>
      <c r="J53" s="65">
        <f>J52-1.13+1.35</f>
        <v>569.05000000000007</v>
      </c>
      <c r="K53" s="72">
        <v>49.37</v>
      </c>
      <c r="L53" s="34">
        <v>49.287446809999999</v>
      </c>
      <c r="M53" s="68"/>
      <c r="N53" s="75">
        <v>53000</v>
      </c>
      <c r="O53" s="75">
        <v>10000</v>
      </c>
      <c r="P53" s="75">
        <v>3600</v>
      </c>
      <c r="Q53" s="75">
        <v>153000</v>
      </c>
      <c r="R53" s="75">
        <v>47500</v>
      </c>
      <c r="S53" s="75">
        <v>11600</v>
      </c>
      <c r="T53" s="75">
        <v>1620000</v>
      </c>
      <c r="U53" s="75">
        <v>98500</v>
      </c>
      <c r="V53" s="75">
        <v>60100</v>
      </c>
      <c r="W53" s="74">
        <f t="shared" si="8"/>
        <v>1.0843558798164807</v>
      </c>
      <c r="X53" s="65">
        <f t="shared" si="9"/>
        <v>0.86453118164584652</v>
      </c>
      <c r="Y53" s="65">
        <f t="shared" si="3"/>
        <v>0.8702842883006312</v>
      </c>
      <c r="Z53" s="71">
        <f t="shared" si="10"/>
        <v>26.987831606008232</v>
      </c>
      <c r="AA53" s="71">
        <f t="shared" si="4"/>
        <v>21.640515098760122</v>
      </c>
    </row>
    <row r="54" spans="1:27" x14ac:dyDescent="0.2">
      <c r="A54">
        <v>189</v>
      </c>
      <c r="B54" s="64" t="s">
        <v>269</v>
      </c>
      <c r="C54" t="s">
        <v>363</v>
      </c>
      <c r="D54" t="s">
        <v>350</v>
      </c>
      <c r="E54" s="64" t="s">
        <v>252</v>
      </c>
      <c r="F54" s="65">
        <v>569.29999999999995</v>
      </c>
      <c r="G54" s="64" t="s">
        <v>269</v>
      </c>
      <c r="H54" s="64" t="s">
        <v>315</v>
      </c>
      <c r="I54" s="64" t="s">
        <v>252</v>
      </c>
      <c r="J54" s="65">
        <v>569.29999999999995</v>
      </c>
      <c r="K54" s="72">
        <v>49.39</v>
      </c>
      <c r="L54" s="34">
        <v>49.301276600000001</v>
      </c>
      <c r="M54" s="64"/>
      <c r="N54" s="73">
        <v>130000</v>
      </c>
      <c r="O54" s="73">
        <v>0</v>
      </c>
      <c r="P54" s="73">
        <v>0</v>
      </c>
      <c r="Q54" s="73">
        <v>609000</v>
      </c>
      <c r="R54" s="73">
        <v>164000</v>
      </c>
      <c r="S54" s="73">
        <v>41300</v>
      </c>
      <c r="T54" s="73">
        <v>6980000</v>
      </c>
      <c r="U54" s="73">
        <v>396000</v>
      </c>
      <c r="V54" s="73">
        <v>228000</v>
      </c>
      <c r="W54" s="74">
        <f t="shared" si="8"/>
        <v>1.1319965258202329</v>
      </c>
      <c r="X54" s="65">
        <f t="shared" si="9"/>
        <v>0.8895335914743282</v>
      </c>
      <c r="Y54" s="65">
        <f t="shared" si="3"/>
        <v>0.8895335914743282</v>
      </c>
      <c r="Z54" s="71">
        <f t="shared" si="10"/>
        <v>27.79251205729723</v>
      </c>
      <c r="AA54" s="71">
        <f t="shared" si="4"/>
        <v>21.967121034303453</v>
      </c>
    </row>
    <row r="55" spans="1:27" x14ac:dyDescent="0.2">
      <c r="A55">
        <v>189</v>
      </c>
      <c r="B55" s="64" t="s">
        <v>269</v>
      </c>
      <c r="C55" t="s">
        <v>363</v>
      </c>
      <c r="D55" t="s">
        <v>343</v>
      </c>
      <c r="E55" s="66" t="s">
        <v>252</v>
      </c>
      <c r="F55" s="65">
        <v>570.79999999999995</v>
      </c>
      <c r="G55" s="64" t="s">
        <v>269</v>
      </c>
      <c r="H55" s="64" t="s">
        <v>316</v>
      </c>
      <c r="I55" s="66" t="s">
        <v>252</v>
      </c>
      <c r="J55" s="65">
        <v>570.79999999999995</v>
      </c>
      <c r="K55" s="72">
        <v>49.52</v>
      </c>
      <c r="L55" s="34">
        <v>49.433090909999997</v>
      </c>
      <c r="M55" s="64"/>
      <c r="N55" s="73">
        <v>42600</v>
      </c>
      <c r="O55" s="73">
        <v>0</v>
      </c>
      <c r="P55" s="73">
        <v>0</v>
      </c>
      <c r="Q55" s="73">
        <v>220000</v>
      </c>
      <c r="R55" s="73">
        <v>55000</v>
      </c>
      <c r="S55" s="73">
        <v>13700</v>
      </c>
      <c r="T55" s="73">
        <v>2760000</v>
      </c>
      <c r="U55" s="73">
        <v>138000</v>
      </c>
      <c r="V55" s="73">
        <v>73200</v>
      </c>
      <c r="W55" s="74">
        <f t="shared" si="8"/>
        <v>1.1886589550684814</v>
      </c>
      <c r="X55" s="65">
        <f t="shared" si="9"/>
        <v>0.89968205904617715</v>
      </c>
      <c r="Y55" s="65">
        <f t="shared" si="3"/>
        <v>0.89968205904617715</v>
      </c>
      <c r="Z55" s="71">
        <f t="shared" si="10"/>
        <v>27.770141722418558</v>
      </c>
      <c r="AA55" s="71">
        <f t="shared" si="4"/>
        <v>21.960447555193202</v>
      </c>
    </row>
    <row r="56" spans="1:27" x14ac:dyDescent="0.2">
      <c r="A56">
        <v>189</v>
      </c>
      <c r="B56" s="64" t="s">
        <v>269</v>
      </c>
      <c r="C56" t="s">
        <v>363</v>
      </c>
      <c r="D56" t="s">
        <v>347</v>
      </c>
      <c r="E56" s="66" t="s">
        <v>318</v>
      </c>
      <c r="F56" s="70">
        <v>572.68499999999995</v>
      </c>
      <c r="G56" s="64" t="s">
        <v>269</v>
      </c>
      <c r="H56" s="64" t="s">
        <v>317</v>
      </c>
      <c r="I56" s="66" t="s">
        <v>318</v>
      </c>
      <c r="J56" s="70">
        <f>572.04+0.645</f>
        <v>572.68499999999995</v>
      </c>
      <c r="K56" s="72">
        <v>49.75</v>
      </c>
      <c r="L56" s="34">
        <v>49.652436360000003</v>
      </c>
      <c r="M56" s="64"/>
      <c r="N56" s="73">
        <v>180000</v>
      </c>
      <c r="O56" s="73">
        <v>37100</v>
      </c>
      <c r="P56" s="73">
        <v>6970</v>
      </c>
      <c r="Q56" s="73">
        <v>605000</v>
      </c>
      <c r="R56" s="73">
        <v>243000</v>
      </c>
      <c r="S56" s="73">
        <v>53600</v>
      </c>
      <c r="T56" s="73">
        <v>7540000</v>
      </c>
      <c r="U56" s="73">
        <v>450000</v>
      </c>
      <c r="V56" s="73">
        <v>246000</v>
      </c>
      <c r="W56" s="74">
        <f t="shared" si="8"/>
        <v>1.0701578540327215</v>
      </c>
      <c r="X56" s="65">
        <f t="shared" si="9"/>
        <v>0.87975756462255128</v>
      </c>
      <c r="Y56" s="65">
        <f t="shared" si="3"/>
        <v>0.88391860564952351</v>
      </c>
      <c r="Z56" s="71">
        <f t="shared" si="10"/>
        <v>27.881902295921616</v>
      </c>
      <c r="AA56" s="71">
        <f t="shared" si="4"/>
        <v>22.143681742769701</v>
      </c>
    </row>
    <row r="57" spans="1:27" x14ac:dyDescent="0.2">
      <c r="A57">
        <v>189</v>
      </c>
      <c r="B57" s="64" t="s">
        <v>269</v>
      </c>
      <c r="C57" t="s">
        <v>364</v>
      </c>
      <c r="D57" t="s">
        <v>349</v>
      </c>
      <c r="E57" s="66" t="s">
        <v>320</v>
      </c>
      <c r="F57" s="65">
        <v>576.44000000000005</v>
      </c>
      <c r="G57" s="64" t="s">
        <v>269</v>
      </c>
      <c r="H57" s="64" t="s">
        <v>319</v>
      </c>
      <c r="I57" s="66" t="s">
        <v>320</v>
      </c>
      <c r="J57" s="65">
        <v>576.44000000000005</v>
      </c>
      <c r="K57" s="72">
        <v>50.19</v>
      </c>
      <c r="L57" s="34">
        <v>50.08938182</v>
      </c>
      <c r="M57" s="64"/>
      <c r="N57" s="73">
        <v>53500</v>
      </c>
      <c r="O57" s="73">
        <v>9610</v>
      </c>
      <c r="P57" s="73">
        <v>1650</v>
      </c>
      <c r="Q57" s="73">
        <v>244000</v>
      </c>
      <c r="R57" s="73">
        <v>127000</v>
      </c>
      <c r="S57" s="73">
        <v>34100</v>
      </c>
      <c r="T57" s="73">
        <v>3530000</v>
      </c>
      <c r="U57" s="73">
        <v>227000</v>
      </c>
      <c r="V57" s="73">
        <v>146000</v>
      </c>
      <c r="W57" s="74">
        <f t="shared" si="8"/>
        <v>1.0277986338031246</v>
      </c>
      <c r="X57" s="65">
        <f t="shared" si="9"/>
        <v>0.892550870597275</v>
      </c>
      <c r="Y57" s="65">
        <f t="shared" si="3"/>
        <v>0.89485509904622162</v>
      </c>
      <c r="Z57" s="307">
        <f t="shared" si="10"/>
        <v>28.917626303804532</v>
      </c>
      <c r="AA57" s="307">
        <f t="shared" si="4"/>
        <v>22.722889816769154</v>
      </c>
    </row>
    <row r="58" spans="1:27" x14ac:dyDescent="0.2">
      <c r="A58">
        <v>189</v>
      </c>
      <c r="B58" s="64" t="s">
        <v>269</v>
      </c>
      <c r="C58" t="s">
        <v>364</v>
      </c>
      <c r="D58" t="s">
        <v>345</v>
      </c>
      <c r="E58" s="64" t="s">
        <v>252</v>
      </c>
      <c r="F58" s="65">
        <v>577.05999999999995</v>
      </c>
      <c r="G58" s="64" t="s">
        <v>269</v>
      </c>
      <c r="H58" s="64" t="s">
        <v>321</v>
      </c>
      <c r="I58" s="64" t="s">
        <v>252</v>
      </c>
      <c r="J58" s="65">
        <v>577.05999999999995</v>
      </c>
      <c r="K58" s="72">
        <v>50.26</v>
      </c>
      <c r="L58" s="34">
        <v>50.161527270000001</v>
      </c>
      <c r="M58" s="64"/>
      <c r="N58" s="73">
        <v>365000</v>
      </c>
      <c r="O58" s="73">
        <v>139000</v>
      </c>
      <c r="P58" s="73">
        <v>52100</v>
      </c>
      <c r="Q58" s="73">
        <v>1620000</v>
      </c>
      <c r="R58" s="73">
        <v>520000</v>
      </c>
      <c r="S58" s="73">
        <v>133000</v>
      </c>
      <c r="T58" s="73">
        <v>18900000</v>
      </c>
      <c r="U58" s="73">
        <v>1070000</v>
      </c>
      <c r="V58" s="73">
        <v>644000</v>
      </c>
      <c r="W58" s="74">
        <f t="shared" si="8"/>
        <v>1.1107802321193272</v>
      </c>
      <c r="X58" s="65">
        <f t="shared" si="9"/>
        <v>0.87932056767236411</v>
      </c>
      <c r="Y58" s="65">
        <f t="shared" si="3"/>
        <v>0.88654739377257874</v>
      </c>
      <c r="Z58" s="307">
        <f t="shared" si="10"/>
        <v>27.480233213302498</v>
      </c>
      <c r="AA58" s="307">
        <f t="shared" si="4"/>
        <v>21.994845290833357</v>
      </c>
    </row>
    <row r="59" spans="1:27" x14ac:dyDescent="0.2">
      <c r="A59">
        <v>189</v>
      </c>
      <c r="B59" s="64" t="s">
        <v>269</v>
      </c>
      <c r="C59" t="s">
        <v>364</v>
      </c>
      <c r="D59" t="s">
        <v>350</v>
      </c>
      <c r="E59" s="64" t="s">
        <v>252</v>
      </c>
      <c r="F59" s="64">
        <v>578.54</v>
      </c>
      <c r="G59" s="64" t="s">
        <v>269</v>
      </c>
      <c r="H59" s="64" t="s">
        <v>322</v>
      </c>
      <c r="I59" s="64" t="s">
        <v>252</v>
      </c>
      <c r="J59" s="64">
        <v>578.54</v>
      </c>
      <c r="K59" s="72">
        <v>50.44</v>
      </c>
      <c r="L59" s="34">
        <v>50.333745450000002</v>
      </c>
      <c r="M59" s="64"/>
      <c r="N59" s="73">
        <v>140000</v>
      </c>
      <c r="O59" s="73">
        <v>0</v>
      </c>
      <c r="P59" s="73">
        <v>0</v>
      </c>
      <c r="Q59" s="73">
        <v>579000</v>
      </c>
      <c r="R59" s="73">
        <v>186000</v>
      </c>
      <c r="S59" s="73">
        <v>43900</v>
      </c>
      <c r="T59" s="73">
        <v>6780000</v>
      </c>
      <c r="U59" s="73">
        <v>405000</v>
      </c>
      <c r="V59" s="73">
        <v>224000</v>
      </c>
      <c r="W59" s="74">
        <f t="shared" si="8"/>
        <v>1.0952313220447929</v>
      </c>
      <c r="X59" s="65">
        <f t="shared" si="9"/>
        <v>0.88646669617966234</v>
      </c>
      <c r="Y59" s="65">
        <f t="shared" si="3"/>
        <v>0.88646669617966234</v>
      </c>
      <c r="Z59" s="307">
        <f t="shared" si="10"/>
        <v>27.982921947864302</v>
      </c>
      <c r="AA59" s="307">
        <f t="shared" si="4"/>
        <v>22.080505985575556</v>
      </c>
    </row>
    <row r="60" spans="1:27" x14ac:dyDescent="0.2">
      <c r="A60">
        <v>189</v>
      </c>
      <c r="B60" s="64" t="s">
        <v>269</v>
      </c>
      <c r="C60" t="s">
        <v>364</v>
      </c>
      <c r="D60" t="s">
        <v>343</v>
      </c>
      <c r="E60" s="64" t="s">
        <v>297</v>
      </c>
      <c r="F60" s="65">
        <v>581.04</v>
      </c>
      <c r="G60" s="64" t="s">
        <v>269</v>
      </c>
      <c r="H60" s="64" t="s">
        <v>323</v>
      </c>
      <c r="I60" s="64" t="s">
        <v>297</v>
      </c>
      <c r="J60" s="65">
        <v>581.04</v>
      </c>
      <c r="K60" s="72">
        <v>50.74</v>
      </c>
      <c r="L60" s="34">
        <v>50.632100000000001</v>
      </c>
      <c r="M60" s="64"/>
      <c r="N60" s="73">
        <v>12300</v>
      </c>
      <c r="O60" s="73">
        <v>0</v>
      </c>
      <c r="P60" s="73">
        <v>0</v>
      </c>
      <c r="Q60" s="73">
        <v>65600</v>
      </c>
      <c r="R60" s="73">
        <v>18700</v>
      </c>
      <c r="S60" s="73">
        <v>5370</v>
      </c>
      <c r="T60" s="73">
        <v>843000</v>
      </c>
      <c r="U60" s="73">
        <v>47700</v>
      </c>
      <c r="V60" s="73">
        <v>38800</v>
      </c>
      <c r="W60" s="74">
        <f t="shared" si="8"/>
        <v>1.1362046531105898</v>
      </c>
      <c r="X60" s="65">
        <f t="shared" si="9"/>
        <v>0.9011410899008212</v>
      </c>
      <c r="Y60" s="65">
        <f t="shared" si="3"/>
        <v>0.9011410899008212</v>
      </c>
      <c r="Z60" s="307">
        <f t="shared" si="10"/>
        <v>28.333540988457045</v>
      </c>
      <c r="AA60" s="307">
        <f t="shared" si="4"/>
        <v>22.303093403788413</v>
      </c>
    </row>
    <row r="61" spans="1:27" x14ac:dyDescent="0.2">
      <c r="A61">
        <v>189</v>
      </c>
      <c r="B61" s="64" t="s">
        <v>269</v>
      </c>
      <c r="C61" t="s">
        <v>364</v>
      </c>
      <c r="D61" t="s">
        <v>347</v>
      </c>
      <c r="E61" s="64" t="s">
        <v>252</v>
      </c>
      <c r="F61" s="64">
        <v>581.54</v>
      </c>
      <c r="G61" s="64" t="s">
        <v>269</v>
      </c>
      <c r="H61" s="64" t="s">
        <v>324</v>
      </c>
      <c r="I61" s="64" t="s">
        <v>252</v>
      </c>
      <c r="J61" s="64">
        <v>581.54</v>
      </c>
      <c r="K61" s="72">
        <v>50.89</v>
      </c>
      <c r="L61" s="34">
        <v>50.783349999999999</v>
      </c>
      <c r="M61" s="64"/>
      <c r="N61" s="73">
        <v>75400</v>
      </c>
      <c r="O61" s="73">
        <v>0</v>
      </c>
      <c r="P61" s="73">
        <v>0</v>
      </c>
      <c r="Q61" s="73">
        <v>307000</v>
      </c>
      <c r="R61" s="73">
        <v>101000</v>
      </c>
      <c r="S61" s="73">
        <v>26900</v>
      </c>
      <c r="T61" s="73">
        <v>3320000</v>
      </c>
      <c r="U61" s="73">
        <v>201000</v>
      </c>
      <c r="V61" s="73">
        <v>114000</v>
      </c>
      <c r="W61" s="74">
        <f t="shared" si="8"/>
        <v>1.0795406126232838</v>
      </c>
      <c r="X61" s="65">
        <f t="shared" si="9"/>
        <v>0.87689672641304606</v>
      </c>
      <c r="Y61" s="65">
        <f t="shared" si="3"/>
        <v>0.87689672641304606</v>
      </c>
      <c r="Z61" s="307">
        <f t="shared" si="10"/>
        <v>27.651131592624601</v>
      </c>
      <c r="AA61" s="307">
        <f t="shared" si="4"/>
        <v>21.872803245230408</v>
      </c>
    </row>
    <row r="62" spans="1:27" x14ac:dyDescent="0.2">
      <c r="A62">
        <v>189</v>
      </c>
      <c r="B62" s="64" t="s">
        <v>269</v>
      </c>
      <c r="C62" t="s">
        <v>364</v>
      </c>
      <c r="D62" t="s">
        <v>351</v>
      </c>
      <c r="E62" s="64" t="s">
        <v>326</v>
      </c>
      <c r="F62" s="65">
        <v>583.61</v>
      </c>
      <c r="G62" s="64" t="s">
        <v>269</v>
      </c>
      <c r="H62" s="64" t="s">
        <v>325</v>
      </c>
      <c r="I62" s="64" t="s">
        <v>326</v>
      </c>
      <c r="J62" s="65">
        <v>583.61</v>
      </c>
      <c r="K62" s="72">
        <v>51.49</v>
      </c>
      <c r="L62" s="34">
        <v>51.409525000000002</v>
      </c>
      <c r="M62" s="64"/>
      <c r="N62" s="73">
        <v>142000</v>
      </c>
      <c r="O62" s="73">
        <v>28100</v>
      </c>
      <c r="P62" s="73">
        <v>0</v>
      </c>
      <c r="Q62" s="73">
        <v>619000</v>
      </c>
      <c r="R62" s="73">
        <v>161000</v>
      </c>
      <c r="S62" s="73">
        <v>38700</v>
      </c>
      <c r="T62" s="73">
        <v>5320000</v>
      </c>
      <c r="U62" s="73">
        <v>321000</v>
      </c>
      <c r="V62" s="73">
        <v>171000</v>
      </c>
      <c r="W62" s="74">
        <f t="shared" si="8"/>
        <v>1.090666287038172</v>
      </c>
      <c r="X62" s="65">
        <f t="shared" si="9"/>
        <v>0.85460534054817083</v>
      </c>
      <c r="Y62" s="65">
        <f t="shared" si="3"/>
        <v>0.8581511066487516</v>
      </c>
      <c r="Z62" s="307">
        <f t="shared" si="10"/>
        <v>26.432537243601633</v>
      </c>
      <c r="AA62" s="307">
        <f t="shared" si="4"/>
        <v>21.228606458604865</v>
      </c>
    </row>
    <row r="63" spans="1:27" x14ac:dyDescent="0.2">
      <c r="A63">
        <v>189</v>
      </c>
      <c r="B63" s="64" t="s">
        <v>269</v>
      </c>
      <c r="C63" t="s">
        <v>365</v>
      </c>
      <c r="D63" t="s">
        <v>353</v>
      </c>
      <c r="E63" s="64" t="s">
        <v>252</v>
      </c>
      <c r="F63" s="65">
        <v>585.85</v>
      </c>
      <c r="G63" s="64" t="s">
        <v>269</v>
      </c>
      <c r="H63" s="64" t="s">
        <v>327</v>
      </c>
      <c r="I63" s="64" t="s">
        <v>252</v>
      </c>
      <c r="J63" s="65">
        <v>585.85</v>
      </c>
      <c r="K63" s="72">
        <v>52.8</v>
      </c>
      <c r="L63" s="34">
        <v>52.744309029999997</v>
      </c>
      <c r="M63" s="64"/>
      <c r="N63" s="73">
        <v>35900</v>
      </c>
      <c r="O63" s="73">
        <v>0</v>
      </c>
      <c r="P63" s="73">
        <v>0</v>
      </c>
      <c r="Q63" s="73">
        <v>92100</v>
      </c>
      <c r="R63" s="73">
        <v>35300</v>
      </c>
      <c r="S63" s="73">
        <v>8760</v>
      </c>
      <c r="T63" s="73">
        <v>1130000</v>
      </c>
      <c r="U63" s="73">
        <v>68500</v>
      </c>
      <c r="V63" s="73">
        <v>39200</v>
      </c>
      <c r="W63" s="74">
        <f t="shared" si="8"/>
        <v>1.0709093905866536</v>
      </c>
      <c r="X63" s="65">
        <f t="shared" si="9"/>
        <v>0.8779508568834411</v>
      </c>
      <c r="Y63" s="65">
        <f t="shared" si="3"/>
        <v>0.8779508568834411</v>
      </c>
      <c r="Z63" s="307">
        <f t="shared" si="10"/>
        <v>27.784540042186844</v>
      </c>
      <c r="AA63" s="307">
        <f t="shared" si="4"/>
        <v>21.954420318760349</v>
      </c>
    </row>
    <row r="64" spans="1:27" x14ac:dyDescent="0.2">
      <c r="A64">
        <v>189</v>
      </c>
      <c r="B64" s="64" t="s">
        <v>269</v>
      </c>
      <c r="C64" t="s">
        <v>365</v>
      </c>
      <c r="D64" t="s">
        <v>349</v>
      </c>
      <c r="E64" s="64" t="s">
        <v>329</v>
      </c>
      <c r="F64" s="65">
        <v>588.15</v>
      </c>
      <c r="G64" s="64" t="s">
        <v>269</v>
      </c>
      <c r="H64" s="64" t="s">
        <v>328</v>
      </c>
      <c r="I64" s="64" t="s">
        <v>329</v>
      </c>
      <c r="J64" s="65">
        <v>588.15</v>
      </c>
      <c r="K64" s="72">
        <v>53</v>
      </c>
      <c r="L64" s="34">
        <v>53.084679000000001</v>
      </c>
      <c r="M64" s="64"/>
      <c r="N64" s="73">
        <v>57500</v>
      </c>
      <c r="O64" s="73">
        <v>0</v>
      </c>
      <c r="P64" s="73">
        <v>0</v>
      </c>
      <c r="Q64" s="73">
        <v>291000</v>
      </c>
      <c r="R64" s="73">
        <v>69400</v>
      </c>
      <c r="S64" s="73">
        <v>17800</v>
      </c>
      <c r="T64" s="73">
        <v>2870000</v>
      </c>
      <c r="U64" s="73">
        <v>167000</v>
      </c>
      <c r="V64" s="73">
        <v>84500</v>
      </c>
      <c r="W64" s="74">
        <f t="shared" si="8"/>
        <v>1.1261770236303619</v>
      </c>
      <c r="X64" s="65">
        <f t="shared" si="9"/>
        <v>0.87751602383897442</v>
      </c>
      <c r="Y64" s="65">
        <f t="shared" si="3"/>
        <v>0.87751602383897442</v>
      </c>
      <c r="Z64" s="307">
        <f t="shared" si="10"/>
        <v>27.246046021004837</v>
      </c>
      <c r="AA64" s="307">
        <f t="shared" si="4"/>
        <v>21.627573015024055</v>
      </c>
    </row>
    <row r="65" spans="1:27" x14ac:dyDescent="0.2">
      <c r="A65">
        <v>189</v>
      </c>
      <c r="B65" s="64" t="s">
        <v>269</v>
      </c>
      <c r="C65" t="s">
        <v>365</v>
      </c>
      <c r="D65" t="s">
        <v>345</v>
      </c>
      <c r="E65" s="64" t="s">
        <v>252</v>
      </c>
      <c r="F65" s="65">
        <v>588.85</v>
      </c>
      <c r="G65" s="64" t="s">
        <v>269</v>
      </c>
      <c r="H65" s="64" t="s">
        <v>330</v>
      </c>
      <c r="I65" s="64" t="s">
        <v>252</v>
      </c>
      <c r="J65" s="65">
        <v>588.85</v>
      </c>
      <c r="K65" s="72">
        <v>53.06</v>
      </c>
      <c r="L65" s="34">
        <v>53.188269859999998</v>
      </c>
      <c r="M65" s="64"/>
      <c r="N65" s="73">
        <v>186000</v>
      </c>
      <c r="O65" s="73">
        <v>60500</v>
      </c>
      <c r="P65" s="73">
        <v>28600</v>
      </c>
      <c r="Q65" s="73">
        <v>744000</v>
      </c>
      <c r="R65" s="73">
        <v>332000</v>
      </c>
      <c r="S65" s="73">
        <v>62900</v>
      </c>
      <c r="T65" s="73">
        <v>7200000</v>
      </c>
      <c r="U65" s="73">
        <v>480000</v>
      </c>
      <c r="V65" s="73">
        <v>266000</v>
      </c>
      <c r="W65" s="74">
        <f t="shared" si="8"/>
        <v>0.99048320624614938</v>
      </c>
      <c r="X65" s="65">
        <f t="shared" si="9"/>
        <v>0.84893162393162391</v>
      </c>
      <c r="Y65" s="65">
        <f t="shared" si="3"/>
        <v>0.85709046586631288</v>
      </c>
      <c r="Z65" s="307">
        <f t="shared" si="10"/>
        <v>27.085563218179697</v>
      </c>
      <c r="AA65" s="307">
        <f t="shared" si="4"/>
        <v>21.763764662440032</v>
      </c>
    </row>
    <row r="66" spans="1:27" x14ac:dyDescent="0.2">
      <c r="A66">
        <v>189</v>
      </c>
      <c r="B66" s="64" t="s">
        <v>269</v>
      </c>
      <c r="C66" t="s">
        <v>365</v>
      </c>
      <c r="D66" t="s">
        <v>350</v>
      </c>
      <c r="E66" s="64" t="s">
        <v>329</v>
      </c>
      <c r="F66" s="65">
        <v>591.15</v>
      </c>
      <c r="G66" s="64" t="s">
        <v>269</v>
      </c>
      <c r="H66" s="64" t="s">
        <v>331</v>
      </c>
      <c r="I66" s="64" t="s">
        <v>329</v>
      </c>
      <c r="J66" s="65">
        <v>591.15</v>
      </c>
      <c r="K66" s="72">
        <v>53.26</v>
      </c>
      <c r="L66" s="34">
        <v>53.528639830000003</v>
      </c>
      <c r="M66" s="64"/>
      <c r="N66" s="73">
        <v>156000</v>
      </c>
      <c r="O66" s="73">
        <v>22300</v>
      </c>
      <c r="P66" s="73">
        <v>0</v>
      </c>
      <c r="Q66" s="73">
        <v>606000</v>
      </c>
      <c r="R66" s="73">
        <v>158000</v>
      </c>
      <c r="S66" s="73">
        <v>41500</v>
      </c>
      <c r="T66" s="73">
        <v>4240000</v>
      </c>
      <c r="U66" s="73">
        <v>264000</v>
      </c>
      <c r="V66" s="73">
        <v>141000</v>
      </c>
      <c r="W66" s="74">
        <f t="shared" si="8"/>
        <v>1.0600709588398136</v>
      </c>
      <c r="X66" s="65">
        <f t="shared" si="9"/>
        <v>0.82522029562251276</v>
      </c>
      <c r="Y66" s="65">
        <f t="shared" si="3"/>
        <v>0.82850263087487741</v>
      </c>
      <c r="Z66" s="71">
        <f t="shared" si="10"/>
        <v>25.249351315973378</v>
      </c>
      <c r="AA66" s="71">
        <f t="shared" si="4"/>
        <v>20.482979220499459</v>
      </c>
    </row>
    <row r="67" spans="1:27" x14ac:dyDescent="0.2">
      <c r="A67">
        <v>189</v>
      </c>
      <c r="B67" s="64" t="s">
        <v>269</v>
      </c>
      <c r="C67" t="s">
        <v>365</v>
      </c>
      <c r="D67" t="s">
        <v>343</v>
      </c>
      <c r="E67" s="64" t="s">
        <v>252</v>
      </c>
      <c r="F67" s="65">
        <v>591.85</v>
      </c>
      <c r="G67" s="64" t="s">
        <v>269</v>
      </c>
      <c r="H67" s="64" t="s">
        <v>332</v>
      </c>
      <c r="I67" s="64" t="s">
        <v>252</v>
      </c>
      <c r="J67" s="65">
        <v>591.85</v>
      </c>
      <c r="K67" s="72">
        <v>53.33</v>
      </c>
      <c r="L67" s="34">
        <v>53.63223069</v>
      </c>
      <c r="M67" s="64"/>
      <c r="N67" s="73">
        <v>129000</v>
      </c>
      <c r="O67" s="73">
        <v>44100</v>
      </c>
      <c r="P67" s="73">
        <v>31100</v>
      </c>
      <c r="Q67" s="73">
        <v>650000</v>
      </c>
      <c r="R67" s="73">
        <v>149000</v>
      </c>
      <c r="S67" s="73">
        <v>40000</v>
      </c>
      <c r="T67" s="73">
        <v>5500000</v>
      </c>
      <c r="U67" s="73">
        <v>331000</v>
      </c>
      <c r="V67" s="73">
        <v>174000</v>
      </c>
      <c r="W67" s="74">
        <f t="shared" si="8"/>
        <v>1.1076338783998294</v>
      </c>
      <c r="X67" s="65">
        <f t="shared" si="9"/>
        <v>0.85199057915496157</v>
      </c>
      <c r="Y67" s="65">
        <f t="shared" si="3"/>
        <v>0.86117883264018358</v>
      </c>
      <c r="Z67" s="71">
        <f t="shared" si="10"/>
        <v>26.143152194709675</v>
      </c>
      <c r="AA67" s="71">
        <f t="shared" si="4"/>
        <v>21.226259721318655</v>
      </c>
    </row>
    <row r="68" spans="1:27" x14ac:dyDescent="0.2">
      <c r="A68">
        <v>189</v>
      </c>
      <c r="B68" s="64" t="s">
        <v>269</v>
      </c>
      <c r="C68" t="s">
        <v>365</v>
      </c>
      <c r="D68" t="s">
        <v>347</v>
      </c>
      <c r="E68" s="64" t="s">
        <v>297</v>
      </c>
      <c r="F68" s="65">
        <v>594.35</v>
      </c>
      <c r="G68" s="64" t="s">
        <v>269</v>
      </c>
      <c r="H68" s="64" t="s">
        <v>333</v>
      </c>
      <c r="I68" s="64" t="s">
        <v>297</v>
      </c>
      <c r="J68" s="65">
        <v>594.35</v>
      </c>
      <c r="K68" s="72">
        <v>53.54</v>
      </c>
      <c r="L68" s="34">
        <v>53.99671687</v>
      </c>
      <c r="M68" s="64"/>
      <c r="N68" s="73">
        <v>73500</v>
      </c>
      <c r="O68" s="73">
        <v>0</v>
      </c>
      <c r="P68" s="73">
        <v>0</v>
      </c>
      <c r="Q68" s="73">
        <v>333000</v>
      </c>
      <c r="R68" s="73">
        <v>67100</v>
      </c>
      <c r="S68" s="73">
        <v>18200</v>
      </c>
      <c r="T68" s="73">
        <v>2420000</v>
      </c>
      <c r="U68" s="73">
        <v>147000</v>
      </c>
      <c r="V68" s="73">
        <v>70400</v>
      </c>
      <c r="W68" s="74">
        <f t="shared" si="8"/>
        <v>1.1091895440988919</v>
      </c>
      <c r="X68" s="65">
        <f t="shared" si="9"/>
        <v>0.84283522945161704</v>
      </c>
      <c r="Y68" s="65">
        <f t="shared" ref="Y68:Y74" si="11">(T68+U68+V68)/(T68+U68+V68+Q68+R68+S68+N68)</f>
        <v>0.84283522945161704</v>
      </c>
      <c r="Z68" s="71">
        <f t="shared" si="10"/>
        <v>25.670839235256217</v>
      </c>
      <c r="AA68" s="71">
        <f t="shared" ref="AA68:AA74" si="12">(0.81-5.67*W68)+31*Y68</f>
        <v>20.64878739795941</v>
      </c>
    </row>
    <row r="69" spans="1:27" x14ac:dyDescent="0.2">
      <c r="A69">
        <v>189</v>
      </c>
      <c r="B69" s="64" t="s">
        <v>269</v>
      </c>
      <c r="C69" t="s">
        <v>365</v>
      </c>
      <c r="D69" t="s">
        <v>351</v>
      </c>
      <c r="E69" s="64" t="s">
        <v>335</v>
      </c>
      <c r="F69" s="65">
        <v>595.22</v>
      </c>
      <c r="G69" s="64" t="s">
        <v>269</v>
      </c>
      <c r="H69" s="64" t="s">
        <v>334</v>
      </c>
      <c r="I69" s="64" t="s">
        <v>335</v>
      </c>
      <c r="J69" s="65">
        <v>595.22</v>
      </c>
      <c r="K69" s="72">
        <v>53.61</v>
      </c>
      <c r="L69" s="34">
        <v>54.093674700000001</v>
      </c>
      <c r="M69" s="64"/>
      <c r="N69" s="73">
        <v>59900</v>
      </c>
      <c r="O69" s="73">
        <v>0</v>
      </c>
      <c r="P69" s="73">
        <v>0</v>
      </c>
      <c r="Q69" s="73">
        <v>259000</v>
      </c>
      <c r="R69" s="73">
        <v>61400</v>
      </c>
      <c r="S69" s="73">
        <v>14700</v>
      </c>
      <c r="T69" s="73">
        <v>2230000</v>
      </c>
      <c r="U69" s="73">
        <v>128000</v>
      </c>
      <c r="V69" s="73">
        <v>68100</v>
      </c>
      <c r="W69" s="74">
        <f t="shared" si="8"/>
        <v>1.1186449219413386</v>
      </c>
      <c r="X69" s="65">
        <f t="shared" si="9"/>
        <v>0.85998369430364041</v>
      </c>
      <c r="Y69" s="65">
        <f t="shared" si="11"/>
        <v>0.85998369430364041</v>
      </c>
      <c r="Z69" s="71">
        <f t="shared" si="10"/>
        <v>26.439854695030508</v>
      </c>
      <c r="AA69" s="71">
        <f t="shared" si="12"/>
        <v>21.126777816005465</v>
      </c>
    </row>
    <row r="70" spans="1:27" x14ac:dyDescent="0.2">
      <c r="A70">
        <v>189</v>
      </c>
      <c r="B70" s="64" t="s">
        <v>269</v>
      </c>
      <c r="C70" t="s">
        <v>366</v>
      </c>
      <c r="D70" t="s">
        <v>353</v>
      </c>
      <c r="E70" s="64" t="s">
        <v>252</v>
      </c>
      <c r="F70" s="65">
        <v>596.44000000000005</v>
      </c>
      <c r="G70" s="64" t="s">
        <v>269</v>
      </c>
      <c r="H70" s="64" t="s">
        <v>336</v>
      </c>
      <c r="I70" s="64" t="s">
        <v>252</v>
      </c>
      <c r="J70" s="65">
        <v>596.44000000000005</v>
      </c>
      <c r="K70" s="72">
        <v>53.71</v>
      </c>
      <c r="L70" s="34">
        <v>54.229638549999997</v>
      </c>
      <c r="M70" s="64"/>
      <c r="N70" s="73">
        <v>102000</v>
      </c>
      <c r="O70" s="73">
        <v>0</v>
      </c>
      <c r="P70" s="73">
        <v>0</v>
      </c>
      <c r="Q70" s="73">
        <v>365000</v>
      </c>
      <c r="R70" s="73">
        <v>142000</v>
      </c>
      <c r="S70" s="73">
        <v>44500</v>
      </c>
      <c r="T70" s="73">
        <v>2510000</v>
      </c>
      <c r="U70" s="73">
        <v>128000</v>
      </c>
      <c r="V70" s="73">
        <v>96100</v>
      </c>
      <c r="W70" s="74">
        <f t="shared" si="8"/>
        <v>1.0272740848666619</v>
      </c>
      <c r="X70" s="65">
        <f t="shared" si="9"/>
        <v>0.80709056559215964</v>
      </c>
      <c r="Y70" s="65">
        <f t="shared" si="11"/>
        <v>0.80709056559215964</v>
      </c>
      <c r="Z70" s="71">
        <f t="shared" si="10"/>
        <v>24.649515586104691</v>
      </c>
      <c r="AA70" s="71">
        <f t="shared" si="12"/>
        <v>20.005163472162977</v>
      </c>
    </row>
    <row r="71" spans="1:27" x14ac:dyDescent="0.2">
      <c r="A71">
        <v>189</v>
      </c>
      <c r="B71" s="64" t="s">
        <v>269</v>
      </c>
      <c r="C71" t="s">
        <v>366</v>
      </c>
      <c r="D71" t="s">
        <v>349</v>
      </c>
      <c r="E71" s="64" t="s">
        <v>252</v>
      </c>
      <c r="F71" s="65">
        <v>597.94000000000005</v>
      </c>
      <c r="G71" s="64" t="s">
        <v>269</v>
      </c>
      <c r="H71" s="64" t="s">
        <v>337</v>
      </c>
      <c r="I71" s="64" t="s">
        <v>252</v>
      </c>
      <c r="J71" s="65">
        <v>597.94000000000005</v>
      </c>
      <c r="K71" s="72">
        <v>53.83</v>
      </c>
      <c r="L71" s="34">
        <v>54.39680723</v>
      </c>
      <c r="M71" s="64"/>
      <c r="N71" s="73">
        <v>28900</v>
      </c>
      <c r="O71" s="73">
        <v>0</v>
      </c>
      <c r="P71" s="73">
        <v>0</v>
      </c>
      <c r="Q71" s="73">
        <v>99800</v>
      </c>
      <c r="R71" s="73">
        <v>39900</v>
      </c>
      <c r="S71" s="73">
        <v>11200</v>
      </c>
      <c r="T71" s="73">
        <v>835000</v>
      </c>
      <c r="U71" s="73">
        <v>59700</v>
      </c>
      <c r="V71" s="73">
        <v>32800</v>
      </c>
      <c r="W71" s="74">
        <f t="shared" si="8"/>
        <v>0.97245936529649057</v>
      </c>
      <c r="X71" s="65">
        <f t="shared" si="9"/>
        <v>0.83762304705138624</v>
      </c>
      <c r="Y71" s="65">
        <f t="shared" si="11"/>
        <v>0.83762304705138624</v>
      </c>
      <c r="Z71" s="71">
        <f t="shared" si="10"/>
        <v>26.688657287047125</v>
      </c>
      <c r="AA71" s="71">
        <f t="shared" si="12"/>
        <v>21.262469857361872</v>
      </c>
    </row>
    <row r="72" spans="1:27" x14ac:dyDescent="0.2">
      <c r="A72">
        <v>189</v>
      </c>
      <c r="B72" s="64" t="s">
        <v>269</v>
      </c>
      <c r="C72" t="s">
        <v>366</v>
      </c>
      <c r="D72" t="s">
        <v>350</v>
      </c>
      <c r="E72" s="64" t="s">
        <v>297</v>
      </c>
      <c r="F72" s="65">
        <v>601.96</v>
      </c>
      <c r="G72" s="64" t="s">
        <v>269</v>
      </c>
      <c r="H72" s="64" t="s">
        <v>338</v>
      </c>
      <c r="I72" s="64" t="s">
        <v>297</v>
      </c>
      <c r="J72" s="65">
        <v>601.96</v>
      </c>
      <c r="K72" s="72">
        <v>54.15</v>
      </c>
      <c r="L72" s="34">
        <v>54.844819280000003</v>
      </c>
      <c r="M72" s="64"/>
      <c r="N72" s="73">
        <v>46800</v>
      </c>
      <c r="O72" s="73">
        <v>0</v>
      </c>
      <c r="P72" s="73">
        <v>0</v>
      </c>
      <c r="Q72" s="73">
        <v>164000</v>
      </c>
      <c r="R72" s="73">
        <v>54300</v>
      </c>
      <c r="S72" s="73">
        <v>14700</v>
      </c>
      <c r="T72" s="73">
        <v>865000</v>
      </c>
      <c r="U72" s="73">
        <v>60200</v>
      </c>
      <c r="V72" s="73">
        <v>30000</v>
      </c>
      <c r="W72" s="74">
        <f>-LOG((U72+R72)/(T72+Q72))</f>
        <v>0.95360988808652614</v>
      </c>
      <c r="X72" s="65">
        <f>SUM(T72:V72)/SUM(N72:V72)</f>
        <v>0.77344129554655872</v>
      </c>
      <c r="Y72" s="65">
        <f t="shared" si="11"/>
        <v>0.77344129554655872</v>
      </c>
      <c r="Z72" s="71">
        <f>50*(X72-0.122-(0.187*W72))</f>
        <v>23.655812323718916</v>
      </c>
      <c r="AA72" s="71">
        <f t="shared" si="12"/>
        <v>19.379712096492717</v>
      </c>
    </row>
    <row r="73" spans="1:27" x14ac:dyDescent="0.2">
      <c r="A73">
        <v>189</v>
      </c>
      <c r="B73" s="64" t="s">
        <v>269</v>
      </c>
      <c r="C73" t="s">
        <v>366</v>
      </c>
      <c r="D73" t="s">
        <v>343</v>
      </c>
      <c r="E73" s="64" t="s">
        <v>340</v>
      </c>
      <c r="F73" s="65">
        <v>603.70000000000005</v>
      </c>
      <c r="G73" s="64" t="s">
        <v>269</v>
      </c>
      <c r="H73" s="64" t="s">
        <v>339</v>
      </c>
      <c r="I73" s="64" t="s">
        <v>340</v>
      </c>
      <c r="J73" s="65">
        <v>603.70000000000005</v>
      </c>
      <c r="K73" s="72">
        <v>54.29</v>
      </c>
      <c r="L73" s="34">
        <v>55.038734939999998</v>
      </c>
      <c r="M73" s="64"/>
      <c r="N73" s="73">
        <v>102000</v>
      </c>
      <c r="O73" s="73">
        <v>0</v>
      </c>
      <c r="P73" s="73">
        <v>0</v>
      </c>
      <c r="Q73" s="73">
        <v>181000</v>
      </c>
      <c r="R73" s="73">
        <v>101000</v>
      </c>
      <c r="S73" s="73">
        <v>31300</v>
      </c>
      <c r="T73" s="73">
        <v>775000</v>
      </c>
      <c r="U73" s="73">
        <v>58300</v>
      </c>
      <c r="V73" s="73">
        <v>32000</v>
      </c>
      <c r="W73" s="74">
        <f>-LOG((U73+R73)/(T73+Q73))</f>
        <v>0.77824211647496855</v>
      </c>
      <c r="X73" s="65">
        <f>SUM(T73:V73)/SUM(N73:V73)</f>
        <v>0.67569889114477588</v>
      </c>
      <c r="Y73" s="65">
        <f t="shared" si="11"/>
        <v>0.67569889114477588</v>
      </c>
      <c r="Z73" s="71">
        <f>50*(X73-0.122-(0.187*W73))</f>
        <v>20.408380768197837</v>
      </c>
      <c r="AA73" s="71">
        <f t="shared" si="12"/>
        <v>17.344032825074979</v>
      </c>
    </row>
    <row r="74" spans="1:27" x14ac:dyDescent="0.2">
      <c r="A74">
        <v>189</v>
      </c>
      <c r="B74" s="64" t="s">
        <v>269</v>
      </c>
      <c r="C74" t="s">
        <v>366</v>
      </c>
      <c r="D74" t="s">
        <v>347</v>
      </c>
      <c r="E74" s="64" t="s">
        <v>268</v>
      </c>
      <c r="F74" s="65">
        <v>604.89</v>
      </c>
      <c r="G74" s="64" t="s">
        <v>269</v>
      </c>
      <c r="H74" s="64" t="s">
        <v>341</v>
      </c>
      <c r="I74" s="64" t="s">
        <v>268</v>
      </c>
      <c r="J74" s="65">
        <v>604.89</v>
      </c>
      <c r="K74" s="72">
        <v>54.38</v>
      </c>
      <c r="L74" s="34">
        <v>55.171355419999998</v>
      </c>
      <c r="M74" s="67"/>
      <c r="N74" s="73">
        <v>26900</v>
      </c>
      <c r="O74" s="73">
        <v>0</v>
      </c>
      <c r="P74" s="73">
        <v>0</v>
      </c>
      <c r="Q74" s="73">
        <v>108000</v>
      </c>
      <c r="R74" s="73">
        <v>30000</v>
      </c>
      <c r="S74" s="73">
        <v>7870</v>
      </c>
      <c r="T74" s="73">
        <v>605000</v>
      </c>
      <c r="U74" s="73">
        <v>38900</v>
      </c>
      <c r="V74" s="73">
        <v>17900</v>
      </c>
      <c r="W74" s="74">
        <f>-LOG((U74+R74)/(T74+Q74))</f>
        <v>1.0148703079442398</v>
      </c>
      <c r="X74" s="65">
        <f>SUM(T74:V74)/SUM(N74:V74)</f>
        <v>0.79298321291203855</v>
      </c>
      <c r="Y74" s="65">
        <f t="shared" si="11"/>
        <v>0.79298321291203855</v>
      </c>
      <c r="Z74" s="71">
        <f>50*(X74-0.122-(0.187*W74))</f>
        <v>24.060123266323284</v>
      </c>
      <c r="AA74" s="71">
        <f t="shared" si="12"/>
        <v>19.638164954229357</v>
      </c>
    </row>
    <row r="75" spans="1:27" ht="16" thickBot="1" x14ac:dyDescent="0.25"/>
    <row r="76" spans="1:27" x14ac:dyDescent="0.2">
      <c r="U76" s="305" t="s">
        <v>675</v>
      </c>
      <c r="V76" s="270" t="s">
        <v>666</v>
      </c>
      <c r="W76" s="271" t="s">
        <v>667</v>
      </c>
      <c r="X76" s="270" t="s">
        <v>672</v>
      </c>
      <c r="Y76" s="270" t="s">
        <v>189</v>
      </c>
      <c r="Z76" s="270" t="s">
        <v>673</v>
      </c>
      <c r="AA76" s="272" t="s">
        <v>668</v>
      </c>
    </row>
    <row r="77" spans="1:27" x14ac:dyDescent="0.2">
      <c r="U77" s="273" t="s">
        <v>602</v>
      </c>
      <c r="V77" s="274">
        <f>COUNT(AA57:AA65)</f>
        <v>9</v>
      </c>
      <c r="W77" s="284">
        <f>MIN(AA57:AA65)</f>
        <v>21.228606458604865</v>
      </c>
      <c r="X77" s="300">
        <f>Y77-(_xlfn.STDEV.P(AA57:AA65))</f>
        <v>21.55456902959429</v>
      </c>
      <c r="Y77" s="284">
        <f>AVERAGE(AA57:AA65)</f>
        <v>21.949833577447354</v>
      </c>
      <c r="Z77" s="284">
        <f>Y77+(_xlfn.STDEV.P(AA57:AA65))</f>
        <v>22.345098125300417</v>
      </c>
      <c r="AA77" s="285">
        <f>MAX(AA57:AA65)</f>
        <v>22.722889816769154</v>
      </c>
    </row>
    <row r="78" spans="1:27" x14ac:dyDescent="0.2">
      <c r="U78" s="273" t="s">
        <v>43</v>
      </c>
      <c r="V78" s="274"/>
      <c r="W78" s="284"/>
      <c r="X78" s="284"/>
      <c r="Y78" s="284"/>
      <c r="Z78" s="284"/>
      <c r="AA78" s="285"/>
    </row>
    <row r="79" spans="1:27" x14ac:dyDescent="0.2">
      <c r="U79" s="273" t="s">
        <v>186</v>
      </c>
      <c r="V79" s="274"/>
      <c r="W79" s="284"/>
      <c r="X79" s="284"/>
      <c r="Y79" s="284"/>
      <c r="Z79" s="284"/>
      <c r="AA79" s="285"/>
    </row>
    <row r="80" spans="1:27" x14ac:dyDescent="0.2">
      <c r="U80" s="273"/>
      <c r="V80" s="277"/>
      <c r="W80" s="284"/>
      <c r="X80" s="284"/>
      <c r="Y80" s="286"/>
      <c r="Z80" s="284"/>
      <c r="AA80" s="287"/>
    </row>
    <row r="81" spans="21:27" x14ac:dyDescent="0.2">
      <c r="U81" s="273"/>
      <c r="V81" s="277"/>
      <c r="W81" s="275"/>
      <c r="X81" s="279"/>
      <c r="Y81" s="279"/>
      <c r="Z81" s="279"/>
      <c r="AA81" s="278"/>
    </row>
    <row r="82" spans="21:27" x14ac:dyDescent="0.2">
      <c r="U82" s="273" t="s">
        <v>602</v>
      </c>
      <c r="V82" s="274">
        <f t="shared" ref="V82" si="13">V77</f>
        <v>9</v>
      </c>
      <c r="W82" s="275" t="str">
        <f>FIXED(W77,2)</f>
        <v>21.23</v>
      </c>
      <c r="X82" s="275" t="str">
        <f t="shared" ref="X82:AA82" si="14">FIXED(X77,2)</f>
        <v>21.55</v>
      </c>
      <c r="Y82" s="275" t="str">
        <f t="shared" si="14"/>
        <v>21.95</v>
      </c>
      <c r="Z82" s="275" t="str">
        <f t="shared" si="14"/>
        <v>22.35</v>
      </c>
      <c r="AA82" s="276" t="str">
        <f t="shared" si="14"/>
        <v>22.72</v>
      </c>
    </row>
    <row r="83" spans="21:27" x14ac:dyDescent="0.2">
      <c r="U83" s="273" t="s">
        <v>43</v>
      </c>
      <c r="V83" s="274"/>
      <c r="W83" s="275"/>
      <c r="X83" s="275"/>
      <c r="Y83" s="275"/>
      <c r="Z83" s="275"/>
      <c r="AA83" s="276"/>
    </row>
    <row r="84" spans="21:27" ht="16" thickBot="1" x14ac:dyDescent="0.25">
      <c r="U84" s="280" t="s">
        <v>186</v>
      </c>
      <c r="V84" s="281"/>
      <c r="W84" s="282"/>
      <c r="X84" s="282"/>
      <c r="Y84" s="282"/>
      <c r="Z84" s="282"/>
      <c r="AA84" s="283"/>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Sheet1</vt:lpstr>
      <vt:lpstr>Summary</vt:lpstr>
      <vt:lpstr>Otway</vt:lpstr>
      <vt:lpstr>Russia</vt:lpstr>
      <vt:lpstr>ACEX</vt:lpstr>
      <vt:lpstr>ODP913</vt:lpstr>
      <vt:lpstr>StoreBaelt</vt:lpstr>
      <vt:lpstr>Fur</vt:lpstr>
      <vt:lpstr>Harrell</vt:lpstr>
      <vt:lpstr>Schoeningen</vt:lpstr>
      <vt:lpstr>Cobham</vt:lpstr>
      <vt:lpstr>Chuckanut</vt:lpstr>
      <vt:lpstr>India</vt:lpstr>
      <vt:lpstr>SaltaBasin</vt:lpstr>
      <vt:lpstr>Mid-Waipara</vt:lpstr>
      <vt:lpstr>Otaio</vt:lpstr>
      <vt:lpstr>U1356_MBT</vt:lpstr>
      <vt:lpstr>U1356_NLR</vt:lpstr>
      <vt:lpstr>ODP 1172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Kennedy</dc:creator>
  <cp:lastModifiedBy>Microsoft Office User</cp:lastModifiedBy>
  <cp:lastPrinted>2018-09-06T03:08:38Z</cp:lastPrinted>
  <dcterms:created xsi:type="dcterms:W3CDTF">2018-08-24T01:47:30Z</dcterms:created>
  <dcterms:modified xsi:type="dcterms:W3CDTF">2020-10-29T10:20:45Z</dcterms:modified>
</cp:coreProperties>
</file>