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5891531/Documents/PhD/site1168 data/1168-og/"/>
    </mc:Choice>
  </mc:AlternateContent>
  <xr:revisionPtr revIDLastSave="0" documentId="13_ncr:1_{C91F8B1F-9C2A-884F-84D6-CC75E10F46B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  <sheet name="Char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2" i="1" l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0" i="1"/>
  <c r="V179" i="1"/>
  <c r="V177" i="1"/>
  <c r="V183" i="1" s="1"/>
  <c r="V176" i="1"/>
  <c r="V175" i="1"/>
  <c r="V182" i="1" s="1"/>
  <c r="V174" i="1"/>
  <c r="V181" i="1" s="1"/>
  <c r="V173" i="1"/>
  <c r="V171" i="1"/>
  <c r="V178" i="1" s="1"/>
  <c r="V184" i="1" s="1"/>
  <c r="V169" i="1"/>
  <c r="V168" i="1"/>
  <c r="V167" i="1"/>
  <c r="V166" i="1"/>
  <c r="V165" i="1"/>
  <c r="V164" i="1"/>
  <c r="V162" i="1"/>
  <c r="V161" i="1"/>
  <c r="V156" i="1"/>
  <c r="V157" i="1" s="1"/>
  <c r="V158" i="1" s="1"/>
  <c r="V159" i="1" s="1"/>
  <c r="V155" i="1"/>
  <c r="V153" i="1"/>
  <c r="V150" i="1"/>
  <c r="V151" i="1" s="1"/>
  <c r="V149" i="1"/>
  <c r="V148" i="1"/>
  <c r="V146" i="1"/>
  <c r="V143" i="1"/>
  <c r="V144" i="1" s="1"/>
  <c r="V145" i="1" s="1"/>
  <c r="V141" i="1"/>
  <c r="V142" i="1" s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4" i="1"/>
  <c r="V111" i="1"/>
  <c r="V110" i="1"/>
  <c r="V107" i="1"/>
  <c r="V106" i="1"/>
  <c r="V103" i="1"/>
  <c r="V98" i="1"/>
  <c r="V97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7" i="1"/>
  <c r="V66" i="1"/>
  <c r="V65" i="1"/>
  <c r="V64" i="1"/>
  <c r="V62" i="1"/>
  <c r="V61" i="1"/>
  <c r="V59" i="1"/>
  <c r="V58" i="1"/>
  <c r="V56" i="1"/>
  <c r="V55" i="1"/>
  <c r="V54" i="1"/>
  <c r="V53" i="1"/>
  <c r="V52" i="1"/>
  <c r="V51" i="1"/>
  <c r="V49" i="1"/>
  <c r="V48" i="1"/>
  <c r="V47" i="1"/>
  <c r="V46" i="1"/>
  <c r="V45" i="1"/>
  <c r="V44" i="1"/>
  <c r="V43" i="1"/>
  <c r="V42" i="1"/>
  <c r="V41" i="1"/>
  <c r="V40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90" i="1"/>
  <c r="S191" i="1"/>
  <c r="S193" i="1"/>
  <c r="S194" i="1"/>
  <c r="S196" i="1"/>
  <c r="S2" i="1"/>
  <c r="G68" i="1"/>
  <c r="H68" i="1" s="1"/>
  <c r="G61" i="1"/>
  <c r="H61" i="1" s="1"/>
  <c r="G74" i="1"/>
  <c r="G90" i="1"/>
  <c r="H90" i="1" s="1"/>
  <c r="G31" i="1"/>
  <c r="H31" i="1" s="1"/>
  <c r="G36" i="1"/>
  <c r="H36" i="1" s="1"/>
  <c r="G37" i="1"/>
  <c r="H37" i="1" s="1"/>
  <c r="G40" i="1"/>
  <c r="H40" i="1" s="1"/>
  <c r="G41" i="1"/>
  <c r="G43" i="1"/>
  <c r="H43" i="1" s="1"/>
  <c r="G49" i="1"/>
  <c r="H49" i="1" s="1"/>
  <c r="G60" i="1"/>
  <c r="G64" i="1"/>
  <c r="G71" i="1"/>
  <c r="G76" i="1"/>
  <c r="G81" i="1"/>
  <c r="H81" i="1" s="1"/>
  <c r="G83" i="1"/>
  <c r="G84" i="1"/>
  <c r="G77" i="1"/>
  <c r="G86" i="1"/>
  <c r="G88" i="1"/>
  <c r="H88" i="1" s="1"/>
  <c r="G91" i="1"/>
  <c r="H91" i="1" s="1"/>
  <c r="G92" i="1"/>
  <c r="G93" i="1"/>
  <c r="G94" i="1"/>
  <c r="H94" i="1" s="1"/>
  <c r="G95" i="1"/>
  <c r="G100" i="1"/>
  <c r="G101" i="1"/>
  <c r="G105" i="1"/>
  <c r="G110" i="1"/>
  <c r="H110" i="1" s="1"/>
  <c r="G113" i="1"/>
  <c r="G114" i="1"/>
  <c r="G116" i="1"/>
  <c r="G117" i="1"/>
  <c r="H117" i="1" s="1"/>
  <c r="G118" i="1"/>
  <c r="G123" i="1"/>
  <c r="H123" i="1" s="1"/>
  <c r="G125" i="1"/>
  <c r="G138" i="1"/>
  <c r="H138" i="1" s="1"/>
  <c r="G143" i="1"/>
  <c r="H143" i="1" s="1"/>
  <c r="G150" i="1"/>
  <c r="H150" i="1" s="1"/>
  <c r="G151" i="1"/>
  <c r="H151" i="1" s="1"/>
  <c r="G173" i="1"/>
  <c r="G176" i="1"/>
  <c r="H176" i="1" s="1"/>
  <c r="F176" i="1"/>
  <c r="G190" i="1"/>
  <c r="H190" i="1" s="1"/>
</calcChain>
</file>

<file path=xl/sharedStrings.xml><?xml version="1.0" encoding="utf-8"?>
<sst xmlns="http://schemas.openxmlformats.org/spreadsheetml/2006/main" count="1303" uniqueCount="375">
  <si>
    <t>Age (Ma)</t>
  </si>
  <si>
    <t>source</t>
  </si>
  <si>
    <t>Hole</t>
  </si>
  <si>
    <t>Event</t>
  </si>
  <si>
    <t>depth top</t>
  </si>
  <si>
    <t>1168A</t>
  </si>
  <si>
    <t>Base Holocene Plateau</t>
  </si>
  <si>
    <t>MIS2.2</t>
  </si>
  <si>
    <t>Max 2.2</t>
  </si>
  <si>
    <t>MIS3.3</t>
  </si>
  <si>
    <t>MIS4.22</t>
  </si>
  <si>
    <t>MIS5.3</t>
  </si>
  <si>
    <t>MIS5.51</t>
  </si>
  <si>
    <t>MIS6.2</t>
  </si>
  <si>
    <t>MIS6.5</t>
  </si>
  <si>
    <t>MIS7.1</t>
  </si>
  <si>
    <t>MIS7.3</t>
  </si>
  <si>
    <t>MIS7.5</t>
  </si>
  <si>
    <t>MIS8.4</t>
  </si>
  <si>
    <t>MIS8.5</t>
  </si>
  <si>
    <t>1168B</t>
  </si>
  <si>
    <t>depth bottom</t>
  </si>
  <si>
    <t>MIS9.1</t>
  </si>
  <si>
    <t>MIS9.3</t>
  </si>
  <si>
    <t>MIS10.2</t>
  </si>
  <si>
    <t>MIS11.3</t>
  </si>
  <si>
    <t>MIS12.2</t>
  </si>
  <si>
    <t>MIS12.4</t>
  </si>
  <si>
    <t>MIS13.2</t>
  </si>
  <si>
    <t>MIS16.2</t>
  </si>
  <si>
    <t>MIS18.2</t>
  </si>
  <si>
    <t>MIS20.2</t>
  </si>
  <si>
    <t>MIS22</t>
  </si>
  <si>
    <t>MIS24</t>
  </si>
  <si>
    <t>2H-CC</t>
  </si>
  <si>
    <t>3H-CC</t>
  </si>
  <si>
    <t>9H-CC</t>
  </si>
  <si>
    <t>11H-CC</t>
  </si>
  <si>
    <t>13X-CC</t>
  </si>
  <si>
    <t>14X-CC</t>
  </si>
  <si>
    <t>15X-CC</t>
  </si>
  <si>
    <t>17X-CC</t>
  </si>
  <si>
    <t>18X-CC</t>
  </si>
  <si>
    <t>19X-CC</t>
  </si>
  <si>
    <t>20X-CC</t>
  </si>
  <si>
    <t>80–84</t>
  </si>
  <si>
    <t>22X-3,</t>
  </si>
  <si>
    <t>Core, section</t>
  </si>
  <si>
    <t>interval top</t>
  </si>
  <si>
    <t>Core, Section</t>
  </si>
  <si>
    <t>interval bottom</t>
  </si>
  <si>
    <t>1H-1</t>
  </si>
  <si>
    <t>15-16</t>
  </si>
  <si>
    <t>90-91</t>
  </si>
  <si>
    <t>1H-2</t>
  </si>
  <si>
    <t>1H-3</t>
  </si>
  <si>
    <t>2H-1</t>
  </si>
  <si>
    <t>2H-2</t>
  </si>
  <si>
    <t>15–16</t>
  </si>
  <si>
    <t xml:space="preserve"> 15–16</t>
  </si>
  <si>
    <t>2H-3</t>
  </si>
  <si>
    <t>90–91</t>
  </si>
  <si>
    <t>78–83</t>
  </si>
  <si>
    <t>2H-5</t>
  </si>
  <si>
    <t>2H-6</t>
  </si>
  <si>
    <t>3H-3</t>
  </si>
  <si>
    <t>4H-3</t>
  </si>
  <si>
    <t>60-62</t>
  </si>
  <si>
    <t>4H-1</t>
  </si>
  <si>
    <t>79-83</t>
  </si>
  <si>
    <t>6H-1</t>
  </si>
  <si>
    <t>6H-3</t>
  </si>
  <si>
    <t>6H-2</t>
  </si>
  <si>
    <t>9H-1</t>
  </si>
  <si>
    <t xml:space="preserve"> 80–84</t>
  </si>
  <si>
    <t>9H-3</t>
  </si>
  <si>
    <t>10H-1</t>
  </si>
  <si>
    <t>10H-2</t>
  </si>
  <si>
    <t>10H-7</t>
  </si>
  <si>
    <t>60–62</t>
  </si>
  <si>
    <t>11H-3</t>
  </si>
  <si>
    <t>12H-1</t>
  </si>
  <si>
    <t>12H-2</t>
  </si>
  <si>
    <t>12H-3</t>
  </si>
  <si>
    <t>12H-4</t>
  </si>
  <si>
    <t>12H-6</t>
  </si>
  <si>
    <t>12H-7</t>
  </si>
  <si>
    <t>13X-1</t>
  </si>
  <si>
    <t>13X-3</t>
  </si>
  <si>
    <t>14X-1</t>
  </si>
  <si>
    <t>14X-3</t>
  </si>
  <si>
    <t>15X-1</t>
  </si>
  <si>
    <t>15X-2</t>
  </si>
  <si>
    <t>15X-3</t>
  </si>
  <si>
    <t>16X-3</t>
  </si>
  <si>
    <t>16X-1</t>
  </si>
  <si>
    <t>17X-4</t>
  </si>
  <si>
    <t>17X-5</t>
  </si>
  <si>
    <t>20X-1</t>
  </si>
  <si>
    <t>21X-1</t>
  </si>
  <si>
    <t>21X-3</t>
  </si>
  <si>
    <t>22X-3</t>
  </si>
  <si>
    <t>22X-1</t>
  </si>
  <si>
    <t>LO</t>
  </si>
  <si>
    <t>22X-2,</t>
  </si>
  <si>
    <t>24X-5,</t>
  </si>
  <si>
    <t>24X-6,</t>
  </si>
  <si>
    <t>24X-CC</t>
  </si>
  <si>
    <t>FO</t>
  </si>
  <si>
    <t>25X-3,</t>
  </si>
  <si>
    <t>LCO</t>
  </si>
  <si>
    <t>26X-2,</t>
  </si>
  <si>
    <t>26X-3,</t>
  </si>
  <si>
    <t>26X-CC</t>
  </si>
  <si>
    <t>26X-6,</t>
  </si>
  <si>
    <t>26X-7,</t>
  </si>
  <si>
    <t>28X-1,</t>
  </si>
  <si>
    <t>80–82</t>
  </si>
  <si>
    <t>28X-3,</t>
  </si>
  <si>
    <t>28X-CC</t>
  </si>
  <si>
    <t>29X-1,</t>
  </si>
  <si>
    <t>29X-3,</t>
  </si>
  <si>
    <t>Onset</t>
  </si>
  <si>
    <t>C5Cn.1n</t>
  </si>
  <si>
    <t>Termination</t>
  </si>
  <si>
    <t>C5Cn.2n</t>
  </si>
  <si>
    <t>30X-6,</t>
  </si>
  <si>
    <t>30X-7,</t>
  </si>
  <si>
    <t>C5Cn.3n</t>
  </si>
  <si>
    <t>31X-3,</t>
  </si>
  <si>
    <t>31X-CC</t>
  </si>
  <si>
    <t>C5Dn</t>
  </si>
  <si>
    <t>32X-1,</t>
  </si>
  <si>
    <t>32X-3,</t>
  </si>
  <si>
    <t>32X-2,</t>
  </si>
  <si>
    <t>32X-CC</t>
  </si>
  <si>
    <t>32X-6,</t>
  </si>
  <si>
    <t>32X-7,</t>
  </si>
  <si>
    <t>C5En</t>
  </si>
  <si>
    <t>33X-3,</t>
  </si>
  <si>
    <t>33X-CC</t>
  </si>
  <si>
    <t>34X-4,</t>
  </si>
  <si>
    <t>2–4</t>
  </si>
  <si>
    <t>34X-3,</t>
  </si>
  <si>
    <t>34X-6,</t>
  </si>
  <si>
    <t>4–6</t>
  </si>
  <si>
    <t>34X-CC</t>
  </si>
  <si>
    <t>C6n</t>
  </si>
  <si>
    <t>36X-CC</t>
  </si>
  <si>
    <t>37X-1,</t>
  </si>
  <si>
    <t>C6An.1n</t>
  </si>
  <si>
    <t>37X-3,</t>
  </si>
  <si>
    <t>C6An.2n</t>
  </si>
  <si>
    <t>C6AAn</t>
  </si>
  <si>
    <t>C6AAr.1n</t>
  </si>
  <si>
    <t>C6AAr.2n</t>
  </si>
  <si>
    <t>C6Bn.1n</t>
  </si>
  <si>
    <t>C6Bn.2n</t>
  </si>
  <si>
    <t>41X-1,</t>
  </si>
  <si>
    <t>41X-3,</t>
  </si>
  <si>
    <t>44X-2,</t>
  </si>
  <si>
    <t>44X-4,</t>
  </si>
  <si>
    <t>71–72</t>
  </si>
  <si>
    <t>46X-1,</t>
  </si>
  <si>
    <t>61–64</t>
  </si>
  <si>
    <t>46X-4,</t>
  </si>
  <si>
    <t>65–68</t>
  </si>
  <si>
    <t>47X-2,</t>
  </si>
  <si>
    <t>120–121</t>
  </si>
  <si>
    <t>140–141</t>
  </si>
  <si>
    <t>47X-4,</t>
  </si>
  <si>
    <t>68–69</t>
  </si>
  <si>
    <t>80–81</t>
  </si>
  <si>
    <t>C6Cn.3n?</t>
  </si>
  <si>
    <t>50X-3,</t>
  </si>
  <si>
    <t>50X-CC</t>
  </si>
  <si>
    <t>C7n.1n?</t>
  </si>
  <si>
    <t>51X-4,</t>
  </si>
  <si>
    <t>52X-5,</t>
  </si>
  <si>
    <t>C7An?</t>
  </si>
  <si>
    <t>C8n.1n?</t>
  </si>
  <si>
    <t>55X-5,</t>
  </si>
  <si>
    <t>125–126</t>
  </si>
  <si>
    <t>55X-CC</t>
  </si>
  <si>
    <t>56X-CC</t>
  </si>
  <si>
    <t>57X-1,</t>
  </si>
  <si>
    <t>57X-2,</t>
  </si>
  <si>
    <t>57X-7,</t>
  </si>
  <si>
    <t>58X-3,</t>
  </si>
  <si>
    <t>C9n</t>
  </si>
  <si>
    <t>58X-CC</t>
  </si>
  <si>
    <t>59X-6,</t>
  </si>
  <si>
    <t>60X-2,</t>
  </si>
  <si>
    <t>60X-4,</t>
  </si>
  <si>
    <t>60X-3,</t>
  </si>
  <si>
    <t>84–88</t>
  </si>
  <si>
    <t>60X-CC</t>
  </si>
  <si>
    <t>61X-3,</t>
  </si>
  <si>
    <t>C10n.1n</t>
  </si>
  <si>
    <t>C10n.2n</t>
  </si>
  <si>
    <t>C11n.1n</t>
  </si>
  <si>
    <t>67X-4,</t>
  </si>
  <si>
    <t>68X-3,</t>
  </si>
  <si>
    <t>70X-2,</t>
  </si>
  <si>
    <t>70X-3,</t>
  </si>
  <si>
    <t>72X-2,</t>
  </si>
  <si>
    <t>63–65</t>
  </si>
  <si>
    <t>72X-4,</t>
  </si>
  <si>
    <t>46–48</t>
  </si>
  <si>
    <t>73X-3,</t>
  </si>
  <si>
    <t>57–59</t>
  </si>
  <si>
    <t>74X-2,</t>
  </si>
  <si>
    <t>74X-CC</t>
  </si>
  <si>
    <t>74X-5,</t>
  </si>
  <si>
    <t>75X-3,</t>
  </si>
  <si>
    <t>C12n</t>
  </si>
  <si>
    <t>75X-2,</t>
  </si>
  <si>
    <t>56–58</t>
  </si>
  <si>
    <t>75X-CC</t>
  </si>
  <si>
    <t>75X-4,</t>
  </si>
  <si>
    <t>128–129</t>
  </si>
  <si>
    <t>75X-5,</t>
  </si>
  <si>
    <t>77X-CC</t>
  </si>
  <si>
    <t>78X-1,</t>
  </si>
  <si>
    <t>38–39</t>
  </si>
  <si>
    <t>C13n</t>
  </si>
  <si>
    <t>78X-CC</t>
  </si>
  <si>
    <t>79X-3,</t>
  </si>
  <si>
    <t>79X-CC</t>
  </si>
  <si>
    <t>79X-5,</t>
  </si>
  <si>
    <t>C15n</t>
  </si>
  <si>
    <t>79X-CC,</t>
  </si>
  <si>
    <t>34–39</t>
  </si>
  <si>
    <t>80X-2,</t>
  </si>
  <si>
    <t>C16n.1n</t>
  </si>
  <si>
    <t>C16n.2n</t>
  </si>
  <si>
    <t>84X-3,</t>
  </si>
  <si>
    <t>84X-6,</t>
  </si>
  <si>
    <t>84X-CC</t>
  </si>
  <si>
    <t>86X-4,</t>
  </si>
  <si>
    <t>86X-CC</t>
  </si>
  <si>
    <t>87X-2,</t>
  </si>
  <si>
    <t>88X-1,</t>
  </si>
  <si>
    <t>88X-6,</t>
  </si>
  <si>
    <t>89X-3,</t>
  </si>
  <si>
    <t>94X-3,</t>
  </si>
  <si>
    <t>64–66</t>
  </si>
  <si>
    <t>94X-CC</t>
  </si>
  <si>
    <t>depth mean</t>
  </si>
  <si>
    <t>depth range</t>
  </si>
  <si>
    <t>Houben et al., 2019</t>
  </si>
  <si>
    <t>GTS2012</t>
  </si>
  <si>
    <t>LR04</t>
  </si>
  <si>
    <t>Cyclicargolithus floridanus</t>
  </si>
  <si>
    <t>Calcidiscus premacintyrei</t>
  </si>
  <si>
    <t>Paragloborotalia mayeri</t>
  </si>
  <si>
    <t>Globorotalia praescitula</t>
  </si>
  <si>
    <t>Paragloborotalia nympha</t>
  </si>
  <si>
    <t>Sphenolithus heteromorphus</t>
  </si>
  <si>
    <t>Orbulina suturalis</t>
  </si>
  <si>
    <t>Globorotalia zealandica</t>
  </si>
  <si>
    <t>Praeorbulina curva</t>
  </si>
  <si>
    <t>Catapsydrax dissimilis</t>
  </si>
  <si>
    <t>Globorotalia miozea</t>
  </si>
  <si>
    <t>Sphenolithus belemnos</t>
  </si>
  <si>
    <t>Globoturborotalita connecta</t>
  </si>
  <si>
    <t>Globorotalia incognita</t>
  </si>
  <si>
    <t>Turborotalia euapertura</t>
  </si>
  <si>
    <t>Tenuitella munda</t>
  </si>
  <si>
    <t>Dentoglobigerina globularis</t>
  </si>
  <si>
    <t>Globoquadrina dehiscens</t>
  </si>
  <si>
    <t>Chiropteridium spp.</t>
  </si>
  <si>
    <t>Sphenolithus capricornutus</t>
  </si>
  <si>
    <t>Reticulofenestra bisecta</t>
  </si>
  <si>
    <t>Ectosphaeropsis burdigalensis</t>
  </si>
  <si>
    <t>Chiasmolithus altus</t>
  </si>
  <si>
    <t>Hystrichokolpoma sp. cf. Homotryblium oceanicum</t>
  </si>
  <si>
    <t>Svalbardella spp.</t>
  </si>
  <si>
    <t>Distatodinium biffi</t>
  </si>
  <si>
    <t>Wetzeliella gochtii</t>
  </si>
  <si>
    <t>Hystrichokolpoma pusilla</t>
  </si>
  <si>
    <t>Chiloguembelina cubensis</t>
  </si>
  <si>
    <t>Areoligera? semicirculata</t>
  </si>
  <si>
    <t>Invertocysta spp.</t>
  </si>
  <si>
    <t>Corrudinium incompositum</t>
  </si>
  <si>
    <t>Apteodinium australiense</t>
  </si>
  <si>
    <t>Cooksonidium capricornum</t>
  </si>
  <si>
    <t>Cyclicargolithus abisectus</t>
  </si>
  <si>
    <t>Reticulofenestra umbilcus</t>
  </si>
  <si>
    <t>Isthmolithus recurvus</t>
  </si>
  <si>
    <t>Stoveracysta ornata</t>
  </si>
  <si>
    <t>Globigerapsis index</t>
  </si>
  <si>
    <t>Stoveracysta kakanuiensis</t>
  </si>
  <si>
    <t>Hemiplacophora semilunifera</t>
  </si>
  <si>
    <t>Reticulatosphaera actinocoronata</t>
  </si>
  <si>
    <t>Reticulofenestra reticulata</t>
  </si>
  <si>
    <t>Schematophora speciosa</t>
  </si>
  <si>
    <t>Aireana verrucosa</t>
  </si>
  <si>
    <t>E.hux acme</t>
  </si>
  <si>
    <t>E.hux</t>
  </si>
  <si>
    <t>C1n</t>
  </si>
  <si>
    <t>O</t>
  </si>
  <si>
    <t>Pseudoemiliania lacunosa</t>
  </si>
  <si>
    <t>C1r.1n</t>
  </si>
  <si>
    <t>T</t>
  </si>
  <si>
    <t>Reticulofenestra asanoi</t>
  </si>
  <si>
    <t>C2n</t>
  </si>
  <si>
    <t>Helicosphaera sellii</t>
  </si>
  <si>
    <t>Calcidiscus macintyrei</t>
  </si>
  <si>
    <t>Gephyrocapsa oceanica</t>
  </si>
  <si>
    <t>Globorotalia truncatulinoides</t>
  </si>
  <si>
    <t>C2r.1n</t>
  </si>
  <si>
    <t>Gephyrocapsa caribbeanica</t>
  </si>
  <si>
    <t>C2r.n1</t>
  </si>
  <si>
    <t>C2An.1n</t>
  </si>
  <si>
    <t>Discoaster surculus</t>
  </si>
  <si>
    <t>Globorotalia inflata</t>
  </si>
  <si>
    <t>C2An.2n</t>
  </si>
  <si>
    <t>C2An.3n</t>
  </si>
  <si>
    <t>Reticulofenestra pseudoumbilica</t>
  </si>
  <si>
    <t>Globorotalia pliozea</t>
  </si>
  <si>
    <t>C3n.1n</t>
  </si>
  <si>
    <t>C3n.2n</t>
  </si>
  <si>
    <t xml:space="preserve"> C3n.4n</t>
  </si>
  <si>
    <t>Globorotalia crassaformis</t>
  </si>
  <si>
    <t>Globorotalia puncticulata</t>
  </si>
  <si>
    <t>C3n.4n</t>
  </si>
  <si>
    <t>Triquetrorhabdulus rugosus</t>
  </si>
  <si>
    <t>C3An.1n</t>
  </si>
  <si>
    <t>C3An.2n</t>
  </si>
  <si>
    <t>Globorotalia sphericomiozea</t>
  </si>
  <si>
    <t>C3Bn</t>
  </si>
  <si>
    <t>Amaurolithus delicatus</t>
  </si>
  <si>
    <t>Amaurolithus primus</t>
  </si>
  <si>
    <t>Globorotalia panda</t>
  </si>
  <si>
    <t>Fragilariopsis reinholdii</t>
  </si>
  <si>
    <t>Globorotalia conomiozea</t>
  </si>
  <si>
    <t>Minylitha convallis</t>
  </si>
  <si>
    <t>Stylacontarium aquilonarium</t>
  </si>
  <si>
    <t>Actinocyclus ingens var. ovalis</t>
  </si>
  <si>
    <t>Paragloborotalia continuosa</t>
  </si>
  <si>
    <t>T ACME</t>
  </si>
  <si>
    <t>B ACME</t>
  </si>
  <si>
    <t>Globorotalia cibaoensis</t>
  </si>
  <si>
    <t>Globorotalia juanai</t>
  </si>
  <si>
    <t>Cyrtocapsella japonica</t>
  </si>
  <si>
    <t>LAO</t>
  </si>
  <si>
    <t>Praeorbulina glomerosa</t>
  </si>
  <si>
    <t>Neogloboquadrina pachyderma</t>
  </si>
  <si>
    <t>Houben et al., 2019 Browns Creek</t>
  </si>
  <si>
    <t>age error</t>
  </si>
  <si>
    <t>Nannotax</t>
  </si>
  <si>
    <t>Pross et al., 2012</t>
  </si>
  <si>
    <t>recalibrated from Stickley et al., 2004 for GTS2012</t>
  </si>
  <si>
    <t>nannotax</t>
  </si>
  <si>
    <t>Jenkinsina triseriata</t>
  </si>
  <si>
    <t>Microtax</t>
  </si>
  <si>
    <t>microtax</t>
  </si>
  <si>
    <t>pross et al., 2012</t>
  </si>
  <si>
    <t>FO (=FCO?)</t>
  </si>
  <si>
    <t>AgeGTS12</t>
  </si>
  <si>
    <t>Schreck et al., 2013</t>
  </si>
  <si>
    <t>zegarra and Helenes, 2011</t>
  </si>
  <si>
    <t>TC16n.1n</t>
  </si>
  <si>
    <t>depth(mbsf)</t>
  </si>
  <si>
    <t>Radiolaria</t>
    <phoneticPr fontId="5" type="noConversion"/>
  </si>
  <si>
    <t>δ18O</t>
  </si>
  <si>
    <t>δ18O</t>
    <phoneticPr fontId="5" type="noConversion"/>
  </si>
  <si>
    <t>Dinocysts</t>
  </si>
  <si>
    <t>Diatoms</t>
    <phoneticPr fontId="5" type="noConversion"/>
  </si>
  <si>
    <t>Datum type</t>
    <phoneticPr fontId="5" type="noConversion"/>
  </si>
  <si>
    <t>Calcareous nannofossils</t>
  </si>
  <si>
    <t>Planktic foraminifers</t>
  </si>
  <si>
    <t>Magnetostratigraphy</t>
  </si>
  <si>
    <t>weight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</si>
</sst>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4"/>
      <charset val="134"/>
      <scheme val="minor"/>
    </font>
    <font>
      <sz val="11"/>
      <color rgb="FFFF0000"/>
      <name val="宋体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Font="1" applyAlignment="1">
      <alignment vertical="center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0" fillId="0" borderId="0" xfId="0" applyAlignment="1">
      <alignment vertical="center"/>
    </xf>
    <xf numFmtId="0" fontId="9" fillId="0" borderId="2" xfId="0" applyFont="1" applyBorder="1" applyAlignment="1">
      <alignment horizontal="center" wrapText="1"/>
    </xf>
    <xf numFmtId="2" fontId="9" fillId="0" borderId="2" xfId="0" applyNumberFormat="1" applyFont="1" applyBorder="1" applyAlignment="1">
      <alignment horizontal="center"/>
    </xf>
    <xf numFmtId="0" fontId="11" fillId="0" borderId="0" xfId="0" applyFont="1"/>
    <xf numFmtId="0" fontId="0" fillId="3" borderId="0" xfId="0" applyFill="1"/>
    <xf numFmtId="0" fontId="3" fillId="3" borderId="0" xfId="0" applyFont="1" applyFill="1"/>
    <xf numFmtId="0" fontId="9" fillId="0" borderId="2" xfId="0" applyFont="1" applyBorder="1" applyAlignment="1">
      <alignment horizontal="center"/>
    </xf>
    <xf numFmtId="0" fontId="10" fillId="0" borderId="0" xfId="0" applyFont="1"/>
    <xf numFmtId="0" fontId="10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14" fillId="0" borderId="0" xfId="0" applyFont="1" applyAlignment="1">
      <alignment vertical="center"/>
    </xf>
    <xf numFmtId="0" fontId="15" fillId="4" borderId="0" xfId="0" applyFont="1" applyFill="1" applyAlignment="1">
      <alignment vertical="center"/>
    </xf>
  </cellXfs>
  <cellStyles count="678">
    <cellStyle name="Normal 2" xfId="677" xr:uid="{26C33F06-B3A9-9742-B300-398F15C65050}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depth 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Sheet1!$G$2:$G$831</c:f>
              <c:numCache>
                <c:formatCode>General</c:formatCode>
                <c:ptCount val="830"/>
                <c:pt idx="0">
                  <c:v>9.7000000000000003E-3</c:v>
                </c:pt>
                <c:pt idx="1">
                  <c:v>1.7999999999999999E-2</c:v>
                </c:pt>
                <c:pt idx="2">
                  <c:v>8.5000000000000006E-2</c:v>
                </c:pt>
                <c:pt idx="3">
                  <c:v>2.1899999999999999E-2</c:v>
                </c:pt>
                <c:pt idx="4">
                  <c:v>5.0200000000000002E-2</c:v>
                </c:pt>
                <c:pt idx="5">
                  <c:v>6.4100000000000004E-2</c:v>
                </c:pt>
                <c:pt idx="6">
                  <c:v>9.64E-2</c:v>
                </c:pt>
                <c:pt idx="7">
                  <c:v>0.1226</c:v>
                </c:pt>
                <c:pt idx="8">
                  <c:v>0.1351</c:v>
                </c:pt>
                <c:pt idx="9">
                  <c:v>0.17510000000000001</c:v>
                </c:pt>
                <c:pt idx="10">
                  <c:v>0.19309999999999999</c:v>
                </c:pt>
                <c:pt idx="11">
                  <c:v>0.24</c:v>
                </c:pt>
                <c:pt idx="12">
                  <c:v>0.2155</c:v>
                </c:pt>
                <c:pt idx="13">
                  <c:v>0.2402</c:v>
                </c:pt>
                <c:pt idx="14">
                  <c:v>0.26569999999999999</c:v>
                </c:pt>
                <c:pt idx="15">
                  <c:v>0.28849999999999998</c:v>
                </c:pt>
                <c:pt idx="16">
                  <c:v>0.78100000000000003</c:v>
                </c:pt>
                <c:pt idx="17">
                  <c:v>0.31</c:v>
                </c:pt>
                <c:pt idx="18">
                  <c:v>0.33100000000000002</c:v>
                </c:pt>
                <c:pt idx="19">
                  <c:v>0.34100000000000003</c:v>
                </c:pt>
                <c:pt idx="20">
                  <c:v>0.44</c:v>
                </c:pt>
                <c:pt idx="21">
                  <c:v>0.98799999999999999</c:v>
                </c:pt>
                <c:pt idx="22">
                  <c:v>0.40500000000000003</c:v>
                </c:pt>
                <c:pt idx="23">
                  <c:v>0.434</c:v>
                </c:pt>
                <c:pt idx="24">
                  <c:v>0.47099999999999997</c:v>
                </c:pt>
                <c:pt idx="25">
                  <c:v>1.0720000000000001</c:v>
                </c:pt>
                <c:pt idx="26">
                  <c:v>0.51200000000000001</c:v>
                </c:pt>
                <c:pt idx="27">
                  <c:v>0.625</c:v>
                </c:pt>
                <c:pt idx="28">
                  <c:v>0.72199999999999998</c:v>
                </c:pt>
                <c:pt idx="29">
                  <c:v>1.1850000000000001</c:v>
                </c:pt>
                <c:pt idx="30">
                  <c:v>0.79600000000000004</c:v>
                </c:pt>
                <c:pt idx="31">
                  <c:v>0.872</c:v>
                </c:pt>
                <c:pt idx="32">
                  <c:v>1.778</c:v>
                </c:pt>
                <c:pt idx="33">
                  <c:v>0.92</c:v>
                </c:pt>
                <c:pt idx="34">
                  <c:v>1.1850000000000001</c:v>
                </c:pt>
                <c:pt idx="35">
                  <c:v>1.1850000000000001</c:v>
                </c:pt>
                <c:pt idx="36">
                  <c:v>1.7</c:v>
                </c:pt>
                <c:pt idx="37">
                  <c:v>1.9450000000000001</c:v>
                </c:pt>
                <c:pt idx="38">
                  <c:v>1.1850000000000001</c:v>
                </c:pt>
                <c:pt idx="39">
                  <c:v>1.9309999999999998</c:v>
                </c:pt>
                <c:pt idx="40">
                  <c:v>2.1480000000000001</c:v>
                </c:pt>
                <c:pt idx="41">
                  <c:v>1.1850000000000001</c:v>
                </c:pt>
                <c:pt idx="42">
                  <c:v>2.15</c:v>
                </c:pt>
                <c:pt idx="43">
                  <c:v>2.581</c:v>
                </c:pt>
                <c:pt idx="44">
                  <c:v>2.4900000000000002</c:v>
                </c:pt>
                <c:pt idx="45">
                  <c:v>3.032</c:v>
                </c:pt>
                <c:pt idx="46">
                  <c:v>2.2999999999999998</c:v>
                </c:pt>
                <c:pt idx="47">
                  <c:v>2.76</c:v>
                </c:pt>
                <c:pt idx="48">
                  <c:v>3.1160000000000001</c:v>
                </c:pt>
                <c:pt idx="49">
                  <c:v>3.2069999999999999</c:v>
                </c:pt>
                <c:pt idx="50">
                  <c:v>3.33</c:v>
                </c:pt>
                <c:pt idx="51">
                  <c:v>3.5960000000000001</c:v>
                </c:pt>
                <c:pt idx="52">
                  <c:v>3.7</c:v>
                </c:pt>
                <c:pt idx="53">
                  <c:v>4.37</c:v>
                </c:pt>
                <c:pt idx="54">
                  <c:v>4.1870000000000003</c:v>
                </c:pt>
                <c:pt idx="55">
                  <c:v>4.3</c:v>
                </c:pt>
                <c:pt idx="56">
                  <c:v>4.6310000000000002</c:v>
                </c:pt>
                <c:pt idx="57">
                  <c:v>4.9969999999999999</c:v>
                </c:pt>
                <c:pt idx="58">
                  <c:v>4.3075999999999999</c:v>
                </c:pt>
                <c:pt idx="59">
                  <c:v>5.0449999999999999</c:v>
                </c:pt>
                <c:pt idx="60">
                  <c:v>5.2350000000000003</c:v>
                </c:pt>
                <c:pt idx="61">
                  <c:v>5.72</c:v>
                </c:pt>
                <c:pt idx="62">
                  <c:v>5.5335999999999999</c:v>
                </c:pt>
                <c:pt idx="63">
                  <c:v>4.47</c:v>
                </c:pt>
                <c:pt idx="64">
                  <c:v>6.0330000000000004</c:v>
                </c:pt>
                <c:pt idx="65">
                  <c:v>6.7329999999999997</c:v>
                </c:pt>
                <c:pt idx="66">
                  <c:v>5.0449999999999999</c:v>
                </c:pt>
                <c:pt idx="68">
                  <c:v>7.14</c:v>
                </c:pt>
                <c:pt idx="69">
                  <c:v>7.165</c:v>
                </c:pt>
                <c:pt idx="70">
                  <c:v>7.2119999999999997</c:v>
                </c:pt>
                <c:pt idx="71">
                  <c:v>7.42</c:v>
                </c:pt>
                <c:pt idx="72">
                  <c:v>5.3825000000000003</c:v>
                </c:pt>
                <c:pt idx="74">
                  <c:v>7.3599999999999994</c:v>
                </c:pt>
                <c:pt idx="75">
                  <c:v>7.681</c:v>
                </c:pt>
                <c:pt idx="79">
                  <c:v>7.9849999999999994</c:v>
                </c:pt>
                <c:pt idx="81">
                  <c:v>9.3925000000000001</c:v>
                </c:pt>
                <c:pt idx="82">
                  <c:v>9.6675000000000004</c:v>
                </c:pt>
                <c:pt idx="84">
                  <c:v>9.6319999999999997</c:v>
                </c:pt>
                <c:pt idx="86">
                  <c:v>10.145</c:v>
                </c:pt>
                <c:pt idx="88">
                  <c:v>9.2050000000000001</c:v>
                </c:pt>
                <c:pt idx="89">
                  <c:v>11.045000000000002</c:v>
                </c:pt>
                <c:pt idx="90">
                  <c:v>12.063000000000001</c:v>
                </c:pt>
                <c:pt idx="91">
                  <c:v>12.552</c:v>
                </c:pt>
                <c:pt idx="92">
                  <c:v>11.045000000000002</c:v>
                </c:pt>
                <c:pt idx="93">
                  <c:v>11.977599999999999</c:v>
                </c:pt>
                <c:pt idx="94">
                  <c:v>13.53</c:v>
                </c:pt>
                <c:pt idx="96">
                  <c:v>13.53</c:v>
                </c:pt>
                <c:pt idx="97">
                  <c:v>15.1</c:v>
                </c:pt>
                <c:pt idx="98">
                  <c:v>15.931999999999999</c:v>
                </c:pt>
                <c:pt idx="99">
                  <c:v>16.275500000000001</c:v>
                </c:pt>
                <c:pt idx="100">
                  <c:v>16.268000000000001</c:v>
                </c:pt>
                <c:pt idx="101">
                  <c:v>16.303000000000001</c:v>
                </c:pt>
                <c:pt idx="102">
                  <c:v>16.472000000000001</c:v>
                </c:pt>
                <c:pt idx="103">
                  <c:v>17.797999999999998</c:v>
                </c:pt>
                <c:pt idx="104">
                  <c:v>16.542999999999999</c:v>
                </c:pt>
                <c:pt idx="105">
                  <c:v>16.721</c:v>
                </c:pt>
                <c:pt idx="106">
                  <c:v>17.54</c:v>
                </c:pt>
                <c:pt idx="107">
                  <c:v>17.234999999999999</c:v>
                </c:pt>
                <c:pt idx="108">
                  <c:v>16.96</c:v>
                </c:pt>
                <c:pt idx="109">
                  <c:v>17.95</c:v>
                </c:pt>
                <c:pt idx="110">
                  <c:v>17.533000000000001</c:v>
                </c:pt>
                <c:pt idx="111">
                  <c:v>17.2425</c:v>
                </c:pt>
                <c:pt idx="112">
                  <c:v>17.992799999999999</c:v>
                </c:pt>
                <c:pt idx="113">
                  <c:v>18.056000000000001</c:v>
                </c:pt>
                <c:pt idx="114">
                  <c:v>18.296800000000001</c:v>
                </c:pt>
                <c:pt idx="115">
                  <c:v>20.21</c:v>
                </c:pt>
                <c:pt idx="116">
                  <c:v>19.040200000000002</c:v>
                </c:pt>
                <c:pt idx="117">
                  <c:v>18.524000000000001</c:v>
                </c:pt>
                <c:pt idx="119">
                  <c:v>18.748000000000001</c:v>
                </c:pt>
                <c:pt idx="120">
                  <c:v>19.722000000000001</c:v>
                </c:pt>
                <c:pt idx="121">
                  <c:v>21.78</c:v>
                </c:pt>
                <c:pt idx="122">
                  <c:v>20.04</c:v>
                </c:pt>
                <c:pt idx="123">
                  <c:v>20.7742</c:v>
                </c:pt>
                <c:pt idx="124">
                  <c:v>20.213000000000001</c:v>
                </c:pt>
                <c:pt idx="125">
                  <c:v>20.439</c:v>
                </c:pt>
                <c:pt idx="126">
                  <c:v>20.709</c:v>
                </c:pt>
                <c:pt idx="127">
                  <c:v>21.082999999999998</c:v>
                </c:pt>
                <c:pt idx="128">
                  <c:v>21.158999999999999</c:v>
                </c:pt>
                <c:pt idx="129">
                  <c:v>21.402999999999999</c:v>
                </c:pt>
                <c:pt idx="130">
                  <c:v>21.483000000000001</c:v>
                </c:pt>
                <c:pt idx="131">
                  <c:v>21.658999999999999</c:v>
                </c:pt>
                <c:pt idx="132">
                  <c:v>21.687999999999999</c:v>
                </c:pt>
                <c:pt idx="133">
                  <c:v>21.766999999999999</c:v>
                </c:pt>
                <c:pt idx="134">
                  <c:v>21.936</c:v>
                </c:pt>
                <c:pt idx="135">
                  <c:v>21.992000000000001</c:v>
                </c:pt>
                <c:pt idx="136">
                  <c:v>22.700000000000003</c:v>
                </c:pt>
                <c:pt idx="137">
                  <c:v>22.268000000000001</c:v>
                </c:pt>
                <c:pt idx="138">
                  <c:v>22.44</c:v>
                </c:pt>
                <c:pt idx="140">
                  <c:v>22.8</c:v>
                </c:pt>
                <c:pt idx="141">
                  <c:v>22.975000000000001</c:v>
                </c:pt>
                <c:pt idx="142">
                  <c:v>23.295000000000002</c:v>
                </c:pt>
                <c:pt idx="144">
                  <c:v>23.962</c:v>
                </c:pt>
                <c:pt idx="145">
                  <c:v>24.76</c:v>
                </c:pt>
                <c:pt idx="146">
                  <c:v>24.984000000000002</c:v>
                </c:pt>
                <c:pt idx="147">
                  <c:v>25.099</c:v>
                </c:pt>
                <c:pt idx="148">
                  <c:v>24.984999999999999</c:v>
                </c:pt>
                <c:pt idx="149">
                  <c:v>27.509999999999998</c:v>
                </c:pt>
                <c:pt idx="152">
                  <c:v>26.9</c:v>
                </c:pt>
                <c:pt idx="153">
                  <c:v>27.439</c:v>
                </c:pt>
                <c:pt idx="157">
                  <c:v>28.09</c:v>
                </c:pt>
                <c:pt idx="159">
                  <c:v>27.859000000000002</c:v>
                </c:pt>
                <c:pt idx="160">
                  <c:v>28.277999999999999</c:v>
                </c:pt>
                <c:pt idx="161">
                  <c:v>29.477</c:v>
                </c:pt>
                <c:pt idx="169">
                  <c:v>30.591000000000001</c:v>
                </c:pt>
                <c:pt idx="171">
                  <c:v>31.78</c:v>
                </c:pt>
                <c:pt idx="172">
                  <c:v>31.033999999999999</c:v>
                </c:pt>
                <c:pt idx="173">
                  <c:v>32.020000000000003</c:v>
                </c:pt>
                <c:pt idx="174">
                  <c:v>32.47</c:v>
                </c:pt>
                <c:pt idx="175">
                  <c:v>33.156999999999996</c:v>
                </c:pt>
                <c:pt idx="176">
                  <c:v>33.704999999999998</c:v>
                </c:pt>
                <c:pt idx="177">
                  <c:v>34.1</c:v>
                </c:pt>
                <c:pt idx="178">
                  <c:v>34.549999999999997</c:v>
                </c:pt>
                <c:pt idx="179">
                  <c:v>34.700000000000003</c:v>
                </c:pt>
                <c:pt idx="180">
                  <c:v>34.999000000000002</c:v>
                </c:pt>
                <c:pt idx="182">
                  <c:v>35.293999999999997</c:v>
                </c:pt>
                <c:pt idx="183">
                  <c:v>35.700000000000003</c:v>
                </c:pt>
                <c:pt idx="184">
                  <c:v>35.75</c:v>
                </c:pt>
                <c:pt idx="185">
                  <c:v>35</c:v>
                </c:pt>
                <c:pt idx="186">
                  <c:v>35.706000000000003</c:v>
                </c:pt>
                <c:pt idx="187">
                  <c:v>35.706000000000003</c:v>
                </c:pt>
                <c:pt idx="188">
                  <c:v>35.704999999999998</c:v>
                </c:pt>
                <c:pt idx="189">
                  <c:v>35.75</c:v>
                </c:pt>
                <c:pt idx="190">
                  <c:v>36.051000000000002</c:v>
                </c:pt>
                <c:pt idx="191">
                  <c:v>35.9</c:v>
                </c:pt>
                <c:pt idx="192">
                  <c:v>36.5</c:v>
                </c:pt>
                <c:pt idx="193">
                  <c:v>36.700000000000003</c:v>
                </c:pt>
                <c:pt idx="194">
                  <c:v>37</c:v>
                </c:pt>
              </c:numCache>
            </c:numRef>
          </c:xVal>
          <c:yVal>
            <c:numRef>
              <c:f>Sheet1!$R$2:$R$831</c:f>
              <c:numCache>
                <c:formatCode>General</c:formatCode>
                <c:ptCount val="830"/>
                <c:pt idx="0">
                  <c:v>0.05</c:v>
                </c:pt>
                <c:pt idx="1">
                  <c:v>0.3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0.95</c:v>
                </c:pt>
                <c:pt idx="5">
                  <c:v>1.1000000000000001</c:v>
                </c:pt>
                <c:pt idx="6">
                  <c:v>1.3</c:v>
                </c:pt>
                <c:pt idx="7">
                  <c:v>1.55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2.35</c:v>
                </c:pt>
                <c:pt idx="15">
                  <c:v>2.5499999999999998</c:v>
                </c:pt>
                <c:pt idx="16">
                  <c:v>2.58</c:v>
                </c:pt>
                <c:pt idx="17">
                  <c:v>2.8</c:v>
                </c:pt>
                <c:pt idx="18">
                  <c:v>3.05</c:v>
                </c:pt>
                <c:pt idx="19">
                  <c:v>3.25</c:v>
                </c:pt>
                <c:pt idx="20">
                  <c:v>3.53</c:v>
                </c:pt>
                <c:pt idx="21">
                  <c:v>4.2</c:v>
                </c:pt>
                <c:pt idx="22">
                  <c:v>4.25</c:v>
                </c:pt>
                <c:pt idx="23">
                  <c:v>4.9000000000000004</c:v>
                </c:pt>
                <c:pt idx="24">
                  <c:v>5.35</c:v>
                </c:pt>
                <c:pt idx="25">
                  <c:v>5.8</c:v>
                </c:pt>
                <c:pt idx="26">
                  <c:v>5.95</c:v>
                </c:pt>
                <c:pt idx="27">
                  <c:v>6.9</c:v>
                </c:pt>
                <c:pt idx="28">
                  <c:v>8</c:v>
                </c:pt>
                <c:pt idx="29">
                  <c:v>8.5749999999999993</c:v>
                </c:pt>
                <c:pt idx="30">
                  <c:v>8.8000000000000007</c:v>
                </c:pt>
                <c:pt idx="31">
                  <c:v>9.65</c:v>
                </c:pt>
                <c:pt idx="32">
                  <c:v>10</c:v>
                </c:pt>
                <c:pt idx="33">
                  <c:v>10.15</c:v>
                </c:pt>
                <c:pt idx="34">
                  <c:v>10.83</c:v>
                </c:pt>
                <c:pt idx="35">
                  <c:v>10.83</c:v>
                </c:pt>
                <c:pt idx="36">
                  <c:v>10.83</c:v>
                </c:pt>
                <c:pt idx="37">
                  <c:v>12.2</c:v>
                </c:pt>
                <c:pt idx="38">
                  <c:v>13.8</c:v>
                </c:pt>
                <c:pt idx="39">
                  <c:v>14.035</c:v>
                </c:pt>
                <c:pt idx="40">
                  <c:v>14.3</c:v>
                </c:pt>
                <c:pt idx="41">
                  <c:v>14.955</c:v>
                </c:pt>
                <c:pt idx="42">
                  <c:v>15.9</c:v>
                </c:pt>
                <c:pt idx="43">
                  <c:v>18.5</c:v>
                </c:pt>
                <c:pt idx="44">
                  <c:v>20.329999999999998</c:v>
                </c:pt>
                <c:pt idx="45">
                  <c:v>24.2</c:v>
                </c:pt>
                <c:pt idx="46">
                  <c:v>28.22</c:v>
                </c:pt>
                <c:pt idx="47">
                  <c:v>28.585000000000001</c:v>
                </c:pt>
                <c:pt idx="48">
                  <c:v>29.6</c:v>
                </c:pt>
                <c:pt idx="49">
                  <c:v>31.1</c:v>
                </c:pt>
                <c:pt idx="50">
                  <c:v>33.6</c:v>
                </c:pt>
                <c:pt idx="51">
                  <c:v>42.7</c:v>
                </c:pt>
                <c:pt idx="52">
                  <c:v>47.33</c:v>
                </c:pt>
                <c:pt idx="53">
                  <c:v>47.62</c:v>
                </c:pt>
                <c:pt idx="54">
                  <c:v>48</c:v>
                </c:pt>
                <c:pt idx="55">
                  <c:v>50.7</c:v>
                </c:pt>
                <c:pt idx="56">
                  <c:v>61.5</c:v>
                </c:pt>
                <c:pt idx="57">
                  <c:v>71.099999999999994</c:v>
                </c:pt>
                <c:pt idx="58">
                  <c:v>76.12</c:v>
                </c:pt>
                <c:pt idx="59">
                  <c:v>76.12</c:v>
                </c:pt>
                <c:pt idx="60">
                  <c:v>79.8</c:v>
                </c:pt>
                <c:pt idx="61">
                  <c:v>83.495000000000005</c:v>
                </c:pt>
                <c:pt idx="62">
                  <c:v>84.204999999999998</c:v>
                </c:pt>
                <c:pt idx="63">
                  <c:v>87.89</c:v>
                </c:pt>
                <c:pt idx="64">
                  <c:v>89.9</c:v>
                </c:pt>
                <c:pt idx="65">
                  <c:v>98.97</c:v>
                </c:pt>
                <c:pt idx="66">
                  <c:v>99.572999999999993</c:v>
                </c:pt>
                <c:pt idx="67">
                  <c:v>103.2</c:v>
                </c:pt>
                <c:pt idx="68">
                  <c:v>104</c:v>
                </c:pt>
                <c:pt idx="69">
                  <c:v>106.205</c:v>
                </c:pt>
                <c:pt idx="70">
                  <c:v>107.3</c:v>
                </c:pt>
                <c:pt idx="71">
                  <c:v>110.705</c:v>
                </c:pt>
                <c:pt idx="72">
                  <c:v>114.12</c:v>
                </c:pt>
                <c:pt idx="73">
                  <c:v>120.80500000000001</c:v>
                </c:pt>
                <c:pt idx="74">
                  <c:v>120.82</c:v>
                </c:pt>
                <c:pt idx="75">
                  <c:v>129.005</c:v>
                </c:pt>
                <c:pt idx="76">
                  <c:v>129.28299999999999</c:v>
                </c:pt>
                <c:pt idx="77">
                  <c:v>129.28299999999999</c:v>
                </c:pt>
                <c:pt idx="78">
                  <c:v>130.41999999999999</c:v>
                </c:pt>
                <c:pt idx="79">
                  <c:v>130.41999999999999</c:v>
                </c:pt>
                <c:pt idx="80">
                  <c:v>130.5</c:v>
                </c:pt>
                <c:pt idx="81">
                  <c:v>132.38800000000001</c:v>
                </c:pt>
                <c:pt idx="82">
                  <c:v>140.02000000000001</c:v>
                </c:pt>
                <c:pt idx="83">
                  <c:v>149.53</c:v>
                </c:pt>
                <c:pt idx="84">
                  <c:v>152.69999999999999</c:v>
                </c:pt>
                <c:pt idx="85">
                  <c:v>159.505</c:v>
                </c:pt>
                <c:pt idx="86">
                  <c:v>176.048</c:v>
                </c:pt>
                <c:pt idx="87">
                  <c:v>185.31</c:v>
                </c:pt>
                <c:pt idx="88">
                  <c:v>188.02</c:v>
                </c:pt>
                <c:pt idx="89">
                  <c:v>188.02</c:v>
                </c:pt>
                <c:pt idx="90">
                  <c:v>197.80500000000001</c:v>
                </c:pt>
                <c:pt idx="91">
                  <c:v>221.505</c:v>
                </c:pt>
                <c:pt idx="92">
                  <c:v>226.10300000000001</c:v>
                </c:pt>
                <c:pt idx="93">
                  <c:v>226.10300000000001</c:v>
                </c:pt>
                <c:pt idx="94">
                  <c:v>236.20500000000001</c:v>
                </c:pt>
                <c:pt idx="95">
                  <c:v>240.52</c:v>
                </c:pt>
                <c:pt idx="96">
                  <c:v>242.20500000000001</c:v>
                </c:pt>
                <c:pt idx="97">
                  <c:v>255.27</c:v>
                </c:pt>
                <c:pt idx="98">
                  <c:v>261.75</c:v>
                </c:pt>
                <c:pt idx="99">
                  <c:v>264.91000000000003</c:v>
                </c:pt>
                <c:pt idx="100">
                  <c:v>272.2</c:v>
                </c:pt>
                <c:pt idx="101">
                  <c:v>276.7</c:v>
                </c:pt>
                <c:pt idx="102">
                  <c:v>279</c:v>
                </c:pt>
                <c:pt idx="103">
                  <c:v>280.35500000000002</c:v>
                </c:pt>
                <c:pt idx="104">
                  <c:v>282.10000000000002</c:v>
                </c:pt>
                <c:pt idx="105">
                  <c:v>287.39999999999998</c:v>
                </c:pt>
                <c:pt idx="106">
                  <c:v>288.53800000000001</c:v>
                </c:pt>
                <c:pt idx="107">
                  <c:v>292.2</c:v>
                </c:pt>
                <c:pt idx="108">
                  <c:v>293.70999999999998</c:v>
                </c:pt>
                <c:pt idx="109">
                  <c:v>293.80500000000001</c:v>
                </c:pt>
                <c:pt idx="110">
                  <c:v>296.5</c:v>
                </c:pt>
                <c:pt idx="111">
                  <c:v>298.00799999999998</c:v>
                </c:pt>
                <c:pt idx="112">
                  <c:v>299.55500000000001</c:v>
                </c:pt>
                <c:pt idx="113">
                  <c:v>307</c:v>
                </c:pt>
                <c:pt idx="114">
                  <c:v>307.173</c:v>
                </c:pt>
                <c:pt idx="115">
                  <c:v>312.18299999999999</c:v>
                </c:pt>
                <c:pt idx="116">
                  <c:v>313.90499999999997</c:v>
                </c:pt>
                <c:pt idx="117">
                  <c:v>315</c:v>
                </c:pt>
                <c:pt idx="118">
                  <c:v>318.613</c:v>
                </c:pt>
                <c:pt idx="119">
                  <c:v>321.2</c:v>
                </c:pt>
                <c:pt idx="120">
                  <c:v>334.6</c:v>
                </c:pt>
                <c:pt idx="121">
                  <c:v>339.24</c:v>
                </c:pt>
                <c:pt idx="122">
                  <c:v>339.5</c:v>
                </c:pt>
                <c:pt idx="123">
                  <c:v>341.11</c:v>
                </c:pt>
                <c:pt idx="124">
                  <c:v>341.5</c:v>
                </c:pt>
                <c:pt idx="125">
                  <c:v>343.7</c:v>
                </c:pt>
                <c:pt idx="126">
                  <c:v>346.7</c:v>
                </c:pt>
                <c:pt idx="127">
                  <c:v>349.8</c:v>
                </c:pt>
                <c:pt idx="128">
                  <c:v>351.1</c:v>
                </c:pt>
                <c:pt idx="129">
                  <c:v>351.8</c:v>
                </c:pt>
                <c:pt idx="130">
                  <c:v>353.5</c:v>
                </c:pt>
                <c:pt idx="131">
                  <c:v>358.4</c:v>
                </c:pt>
                <c:pt idx="132">
                  <c:v>359</c:v>
                </c:pt>
                <c:pt idx="133">
                  <c:v>359.9</c:v>
                </c:pt>
                <c:pt idx="134">
                  <c:v>366</c:v>
                </c:pt>
                <c:pt idx="135">
                  <c:v>371.3</c:v>
                </c:pt>
                <c:pt idx="136">
                  <c:v>379.61</c:v>
                </c:pt>
                <c:pt idx="137">
                  <c:v>386.2</c:v>
                </c:pt>
                <c:pt idx="138">
                  <c:v>409.483</c:v>
                </c:pt>
                <c:pt idx="139">
                  <c:v>428.19499999999999</c:v>
                </c:pt>
                <c:pt idx="140">
                  <c:v>437.70499999999998</c:v>
                </c:pt>
                <c:pt idx="141">
                  <c:v>440.14499999999998</c:v>
                </c:pt>
                <c:pt idx="142">
                  <c:v>462.6</c:v>
                </c:pt>
                <c:pt idx="143">
                  <c:v>469.91</c:v>
                </c:pt>
                <c:pt idx="144">
                  <c:v>472</c:v>
                </c:pt>
                <c:pt idx="145">
                  <c:v>483.96</c:v>
                </c:pt>
                <c:pt idx="146">
                  <c:v>500</c:v>
                </c:pt>
                <c:pt idx="147">
                  <c:v>509.35</c:v>
                </c:pt>
                <c:pt idx="148">
                  <c:v>519.98</c:v>
                </c:pt>
                <c:pt idx="149">
                  <c:v>530.66999999999996</c:v>
                </c:pt>
                <c:pt idx="150">
                  <c:v>536.71</c:v>
                </c:pt>
                <c:pt idx="151">
                  <c:v>542.26</c:v>
                </c:pt>
                <c:pt idx="152">
                  <c:v>542.26</c:v>
                </c:pt>
                <c:pt idx="153">
                  <c:v>546.20000000000005</c:v>
                </c:pt>
                <c:pt idx="154">
                  <c:v>547.35</c:v>
                </c:pt>
                <c:pt idx="155">
                  <c:v>560.30999999999995</c:v>
                </c:pt>
                <c:pt idx="156">
                  <c:v>563.61</c:v>
                </c:pt>
                <c:pt idx="157">
                  <c:v>566.52499999999998</c:v>
                </c:pt>
                <c:pt idx="158">
                  <c:v>569.16</c:v>
                </c:pt>
                <c:pt idx="159">
                  <c:v>572.9</c:v>
                </c:pt>
                <c:pt idx="160">
                  <c:v>592</c:v>
                </c:pt>
                <c:pt idx="161">
                  <c:v>600</c:v>
                </c:pt>
                <c:pt idx="162">
                  <c:v>636.36</c:v>
                </c:pt>
                <c:pt idx="163">
                  <c:v>658.96</c:v>
                </c:pt>
                <c:pt idx="164">
                  <c:v>669.30499999999995</c:v>
                </c:pt>
                <c:pt idx="165">
                  <c:v>692.71</c:v>
                </c:pt>
                <c:pt idx="166">
                  <c:v>699.07500000000005</c:v>
                </c:pt>
                <c:pt idx="167">
                  <c:v>705.05799999999999</c:v>
                </c:pt>
                <c:pt idx="168">
                  <c:v>705.05799999999999</c:v>
                </c:pt>
                <c:pt idx="169">
                  <c:v>706.1</c:v>
                </c:pt>
                <c:pt idx="170">
                  <c:v>710.125</c:v>
                </c:pt>
                <c:pt idx="171">
                  <c:v>710.81299999999999</c:v>
                </c:pt>
                <c:pt idx="172">
                  <c:v>729.9</c:v>
                </c:pt>
                <c:pt idx="173">
                  <c:v>733.42</c:v>
                </c:pt>
                <c:pt idx="174">
                  <c:v>733.42</c:v>
                </c:pt>
                <c:pt idx="175">
                  <c:v>733.95</c:v>
                </c:pt>
                <c:pt idx="176">
                  <c:v>740.7</c:v>
                </c:pt>
                <c:pt idx="177">
                  <c:v>744.7</c:v>
                </c:pt>
                <c:pt idx="178">
                  <c:v>747.68799999999999</c:v>
                </c:pt>
                <c:pt idx="179">
                  <c:v>750.89800000000002</c:v>
                </c:pt>
                <c:pt idx="180">
                  <c:v>772</c:v>
                </c:pt>
                <c:pt idx="181">
                  <c:v>753.44799999999998</c:v>
                </c:pt>
                <c:pt idx="182">
                  <c:v>781</c:v>
                </c:pt>
                <c:pt idx="183">
                  <c:v>796.66</c:v>
                </c:pt>
                <c:pt idx="184">
                  <c:v>796.66</c:v>
                </c:pt>
                <c:pt idx="185">
                  <c:v>799.15</c:v>
                </c:pt>
                <c:pt idx="186">
                  <c:v>800</c:v>
                </c:pt>
                <c:pt idx="187">
                  <c:v>807</c:v>
                </c:pt>
                <c:pt idx="188">
                  <c:v>816.90499999999997</c:v>
                </c:pt>
                <c:pt idx="189">
                  <c:v>819.89</c:v>
                </c:pt>
                <c:pt idx="190">
                  <c:v>831</c:v>
                </c:pt>
                <c:pt idx="191">
                  <c:v>833.46</c:v>
                </c:pt>
                <c:pt idx="192">
                  <c:v>839.76</c:v>
                </c:pt>
                <c:pt idx="193">
                  <c:v>844</c:v>
                </c:pt>
                <c:pt idx="194">
                  <c:v>878.64300000000003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8-C441-9DCA-5AA73337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73695"/>
        <c:axId val="1007735711"/>
      </c:scatterChart>
      <c:valAx>
        <c:axId val="1008273695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735711"/>
        <c:crosses val="autoZero"/>
        <c:crossBetween val="midCat"/>
      </c:valAx>
      <c:valAx>
        <c:axId val="1007735711"/>
        <c:scaling>
          <c:orientation val="maxMin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2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Sheet1!$F$3:$F$196</c:f>
              <c:numCache>
                <c:formatCode>General</c:formatCode>
                <c:ptCount val="194"/>
                <c:pt idx="0">
                  <c:v>1.7999999999999999E-2</c:v>
                </c:pt>
                <c:pt idx="1">
                  <c:v>8.5000000000000006E-2</c:v>
                </c:pt>
                <c:pt idx="2">
                  <c:v>2.1899999999999999E-2</c:v>
                </c:pt>
                <c:pt idx="3">
                  <c:v>5.0200000000000002E-2</c:v>
                </c:pt>
                <c:pt idx="4">
                  <c:v>6.4100000000000004E-2</c:v>
                </c:pt>
                <c:pt idx="5">
                  <c:v>9.64E-2</c:v>
                </c:pt>
                <c:pt idx="6">
                  <c:v>0.1226</c:v>
                </c:pt>
                <c:pt idx="7">
                  <c:v>0.1351</c:v>
                </c:pt>
                <c:pt idx="8">
                  <c:v>0.17510000000000001</c:v>
                </c:pt>
                <c:pt idx="9">
                  <c:v>0.19309999999999999</c:v>
                </c:pt>
                <c:pt idx="10">
                  <c:v>0.24</c:v>
                </c:pt>
                <c:pt idx="11">
                  <c:v>0.2155</c:v>
                </c:pt>
                <c:pt idx="12">
                  <c:v>0.2402</c:v>
                </c:pt>
                <c:pt idx="13">
                  <c:v>0.26569999999999999</c:v>
                </c:pt>
                <c:pt idx="14">
                  <c:v>0.28849999999999998</c:v>
                </c:pt>
                <c:pt idx="15">
                  <c:v>0.78</c:v>
                </c:pt>
                <c:pt idx="16">
                  <c:v>0.31</c:v>
                </c:pt>
                <c:pt idx="17">
                  <c:v>0.33100000000000002</c:v>
                </c:pt>
                <c:pt idx="18">
                  <c:v>0.34100000000000003</c:v>
                </c:pt>
                <c:pt idx="19">
                  <c:v>0.42</c:v>
                </c:pt>
                <c:pt idx="20">
                  <c:v>0.99</c:v>
                </c:pt>
                <c:pt idx="21">
                  <c:v>0.40500000000000003</c:v>
                </c:pt>
                <c:pt idx="22">
                  <c:v>0.434</c:v>
                </c:pt>
                <c:pt idx="23">
                  <c:v>0.47099999999999997</c:v>
                </c:pt>
                <c:pt idx="24">
                  <c:v>1.07</c:v>
                </c:pt>
                <c:pt idx="25">
                  <c:v>0.51200000000000001</c:v>
                </c:pt>
                <c:pt idx="26">
                  <c:v>0.625</c:v>
                </c:pt>
                <c:pt idx="27">
                  <c:v>0.72199999999999998</c:v>
                </c:pt>
                <c:pt idx="28">
                  <c:v>0.83</c:v>
                </c:pt>
                <c:pt idx="29">
                  <c:v>0.79600000000000004</c:v>
                </c:pt>
                <c:pt idx="30">
                  <c:v>0.872</c:v>
                </c:pt>
                <c:pt idx="31">
                  <c:v>1.77</c:v>
                </c:pt>
                <c:pt idx="32">
                  <c:v>0.92</c:v>
                </c:pt>
                <c:pt idx="33">
                  <c:v>1.1599999999999999</c:v>
                </c:pt>
                <c:pt idx="34">
                  <c:v>1.26</c:v>
                </c:pt>
                <c:pt idx="35">
                  <c:v>1.59</c:v>
                </c:pt>
                <c:pt idx="36">
                  <c:v>1.95</c:v>
                </c:pt>
                <c:pt idx="37">
                  <c:v>1.65</c:v>
                </c:pt>
                <c:pt idx="38">
                  <c:v>2</c:v>
                </c:pt>
                <c:pt idx="39">
                  <c:v>2.14</c:v>
                </c:pt>
                <c:pt idx="40">
                  <c:v>1.72</c:v>
                </c:pt>
                <c:pt idx="41">
                  <c:v>2.15</c:v>
                </c:pt>
                <c:pt idx="42">
                  <c:v>2.581</c:v>
                </c:pt>
                <c:pt idx="43">
                  <c:v>2.5099999999999998</c:v>
                </c:pt>
                <c:pt idx="44">
                  <c:v>3.04</c:v>
                </c:pt>
                <c:pt idx="45">
                  <c:v>2.5</c:v>
                </c:pt>
                <c:pt idx="46">
                  <c:v>3.2</c:v>
                </c:pt>
                <c:pt idx="47">
                  <c:v>3.11</c:v>
                </c:pt>
                <c:pt idx="48">
                  <c:v>3.11</c:v>
                </c:pt>
                <c:pt idx="49">
                  <c:v>3.33</c:v>
                </c:pt>
                <c:pt idx="50">
                  <c:v>3.58</c:v>
                </c:pt>
                <c:pt idx="51">
                  <c:v>3.65</c:v>
                </c:pt>
                <c:pt idx="52">
                  <c:v>4.5999999999999996</c:v>
                </c:pt>
                <c:pt idx="53">
                  <c:v>4.18</c:v>
                </c:pt>
                <c:pt idx="54">
                  <c:v>4.29</c:v>
                </c:pt>
                <c:pt idx="55">
                  <c:v>4.4800000000000004</c:v>
                </c:pt>
                <c:pt idx="56">
                  <c:v>4.9800000000000004</c:v>
                </c:pt>
                <c:pt idx="57">
                  <c:v>4.7</c:v>
                </c:pt>
                <c:pt idx="58">
                  <c:v>4.8</c:v>
                </c:pt>
                <c:pt idx="59">
                  <c:v>5.32</c:v>
                </c:pt>
                <c:pt idx="60">
                  <c:v>5.6</c:v>
                </c:pt>
                <c:pt idx="61">
                  <c:v>5.23</c:v>
                </c:pt>
                <c:pt idx="62">
                  <c:v>5.2</c:v>
                </c:pt>
                <c:pt idx="63">
                  <c:v>5.8940000000000001</c:v>
                </c:pt>
                <c:pt idx="64">
                  <c:v>6.5670000000000002</c:v>
                </c:pt>
                <c:pt idx="65">
                  <c:v>5.6</c:v>
                </c:pt>
                <c:pt idx="66">
                  <c:v>7.1</c:v>
                </c:pt>
                <c:pt idx="67">
                  <c:v>6.9349999999999996</c:v>
                </c:pt>
                <c:pt idx="68">
                  <c:v>7.3</c:v>
                </c:pt>
                <c:pt idx="69">
                  <c:v>7.0910000000000002</c:v>
                </c:pt>
                <c:pt idx="70">
                  <c:v>7.4</c:v>
                </c:pt>
                <c:pt idx="71">
                  <c:v>11.8</c:v>
                </c:pt>
                <c:pt idx="72">
                  <c:v>8.1</c:v>
                </c:pt>
                <c:pt idx="73">
                  <c:v>7.12</c:v>
                </c:pt>
                <c:pt idx="74">
                  <c:v>7.8</c:v>
                </c:pt>
                <c:pt idx="75">
                  <c:v>7</c:v>
                </c:pt>
                <c:pt idx="76">
                  <c:v>8.68</c:v>
                </c:pt>
                <c:pt idx="77">
                  <c:v>5.8</c:v>
                </c:pt>
                <c:pt idx="78">
                  <c:v>8</c:v>
                </c:pt>
                <c:pt idx="79">
                  <c:v>8.7799999999999994</c:v>
                </c:pt>
                <c:pt idx="80">
                  <c:v>7.8</c:v>
                </c:pt>
                <c:pt idx="81">
                  <c:v>8.1</c:v>
                </c:pt>
                <c:pt idx="82">
                  <c:v>9.9</c:v>
                </c:pt>
                <c:pt idx="83">
                  <c:v>9.4</c:v>
                </c:pt>
                <c:pt idx="84">
                  <c:v>10.1</c:v>
                </c:pt>
                <c:pt idx="85">
                  <c:v>15.9</c:v>
                </c:pt>
                <c:pt idx="86">
                  <c:v>14.8</c:v>
                </c:pt>
                <c:pt idx="87">
                  <c:v>9.1999999999999993</c:v>
                </c:pt>
                <c:pt idx="88">
                  <c:v>11.4</c:v>
                </c:pt>
                <c:pt idx="89">
                  <c:v>11.9</c:v>
                </c:pt>
                <c:pt idx="90">
                  <c:v>12.7</c:v>
                </c:pt>
                <c:pt idx="91">
                  <c:v>12.1</c:v>
                </c:pt>
                <c:pt idx="92">
                  <c:v>16.899999999999999</c:v>
                </c:pt>
                <c:pt idx="93">
                  <c:v>13.2</c:v>
                </c:pt>
                <c:pt idx="94">
                  <c:v>13.4</c:v>
                </c:pt>
                <c:pt idx="95">
                  <c:v>13.52</c:v>
                </c:pt>
                <c:pt idx="96">
                  <c:v>15.1</c:v>
                </c:pt>
                <c:pt idx="97">
                  <c:v>16.7</c:v>
                </c:pt>
                <c:pt idx="98">
                  <c:v>16.3</c:v>
                </c:pt>
                <c:pt idx="99">
                  <c:v>16.292999999999999</c:v>
                </c:pt>
                <c:pt idx="100">
                  <c:v>16.327000000000002</c:v>
                </c:pt>
                <c:pt idx="101">
                  <c:v>16.488</c:v>
                </c:pt>
                <c:pt idx="102">
                  <c:v>17.399999999999999</c:v>
                </c:pt>
                <c:pt idx="103">
                  <c:v>16.556000000000001</c:v>
                </c:pt>
                <c:pt idx="104">
                  <c:v>16.725999999999999</c:v>
                </c:pt>
                <c:pt idx="105">
                  <c:v>17.3</c:v>
                </c:pt>
                <c:pt idx="106">
                  <c:v>17.277000000000001</c:v>
                </c:pt>
                <c:pt idx="107">
                  <c:v>16.7</c:v>
                </c:pt>
                <c:pt idx="108">
                  <c:v>18.2</c:v>
                </c:pt>
                <c:pt idx="109">
                  <c:v>17.614999999999998</c:v>
                </c:pt>
                <c:pt idx="110">
                  <c:v>17.3</c:v>
                </c:pt>
                <c:pt idx="111">
                  <c:v>18.3</c:v>
                </c:pt>
                <c:pt idx="112">
                  <c:v>18.280999999999999</c:v>
                </c:pt>
                <c:pt idx="113">
                  <c:v>18.5</c:v>
                </c:pt>
                <c:pt idx="114">
                  <c:v>20.9</c:v>
                </c:pt>
                <c:pt idx="115">
                  <c:v>19.2</c:v>
                </c:pt>
                <c:pt idx="116">
                  <c:v>18.780999999999999</c:v>
                </c:pt>
                <c:pt idx="117">
                  <c:v>21.6</c:v>
                </c:pt>
                <c:pt idx="118">
                  <c:v>19.047999999999998</c:v>
                </c:pt>
                <c:pt idx="119">
                  <c:v>20.131</c:v>
                </c:pt>
                <c:pt idx="120">
                  <c:v>23.8</c:v>
                </c:pt>
                <c:pt idx="121">
                  <c:v>20.518000000000001</c:v>
                </c:pt>
                <c:pt idx="122">
                  <c:v>21.4</c:v>
                </c:pt>
                <c:pt idx="123">
                  <c:v>20.725000000000001</c:v>
                </c:pt>
                <c:pt idx="124">
                  <c:v>20.995999999999999</c:v>
                </c:pt>
                <c:pt idx="125">
                  <c:v>21.32</c:v>
                </c:pt>
                <c:pt idx="126">
                  <c:v>21.768000000000001</c:v>
                </c:pt>
                <c:pt idx="127">
                  <c:v>21.859000000000002</c:v>
                </c:pt>
                <c:pt idx="128">
                  <c:v>22.151</c:v>
                </c:pt>
                <c:pt idx="129">
                  <c:v>22.248000000000001</c:v>
                </c:pt>
                <c:pt idx="130">
                  <c:v>22.459</c:v>
                </c:pt>
                <c:pt idx="131">
                  <c:v>22.492999999999999</c:v>
                </c:pt>
                <c:pt idx="132">
                  <c:v>22.588000000000001</c:v>
                </c:pt>
                <c:pt idx="133">
                  <c:v>22.75</c:v>
                </c:pt>
                <c:pt idx="134">
                  <c:v>22.803999999999998</c:v>
                </c:pt>
                <c:pt idx="135">
                  <c:v>22.8</c:v>
                </c:pt>
                <c:pt idx="136">
                  <c:v>23.068999999999999</c:v>
                </c:pt>
                <c:pt idx="137">
                  <c:v>23.2</c:v>
                </c:pt>
                <c:pt idx="138">
                  <c:v>23.4</c:v>
                </c:pt>
                <c:pt idx="139">
                  <c:v>23.7</c:v>
                </c:pt>
                <c:pt idx="140">
                  <c:v>23.9</c:v>
                </c:pt>
                <c:pt idx="141">
                  <c:v>24.117999999999999</c:v>
                </c:pt>
                <c:pt idx="142">
                  <c:v>24.5</c:v>
                </c:pt>
                <c:pt idx="143">
                  <c:v>24.73</c:v>
                </c:pt>
                <c:pt idx="144">
                  <c:v>25.5</c:v>
                </c:pt>
                <c:pt idx="145">
                  <c:v>25.648</c:v>
                </c:pt>
                <c:pt idx="146">
                  <c:v>25.823</c:v>
                </c:pt>
                <c:pt idx="147">
                  <c:v>26.1</c:v>
                </c:pt>
                <c:pt idx="148">
                  <c:v>27</c:v>
                </c:pt>
                <c:pt idx="149">
                  <c:v>27.6</c:v>
                </c:pt>
                <c:pt idx="150">
                  <c:v>27.7</c:v>
                </c:pt>
                <c:pt idx="151">
                  <c:v>27.7</c:v>
                </c:pt>
                <c:pt idx="152">
                  <c:v>27.972000000000001</c:v>
                </c:pt>
                <c:pt idx="153">
                  <c:v>28</c:v>
                </c:pt>
                <c:pt idx="154">
                  <c:v>28.1</c:v>
                </c:pt>
                <c:pt idx="155">
                  <c:v>28.1</c:v>
                </c:pt>
                <c:pt idx="156">
                  <c:v>28.5</c:v>
                </c:pt>
                <c:pt idx="157">
                  <c:v>28.2</c:v>
                </c:pt>
                <c:pt idx="158">
                  <c:v>28.283000000000001</c:v>
                </c:pt>
                <c:pt idx="159">
                  <c:v>28.745000000000001</c:v>
                </c:pt>
                <c:pt idx="160">
                  <c:v>29.401</c:v>
                </c:pt>
                <c:pt idx="161">
                  <c:v>29.7</c:v>
                </c:pt>
                <c:pt idx="162">
                  <c:v>29.9</c:v>
                </c:pt>
                <c:pt idx="163">
                  <c:v>29.9</c:v>
                </c:pt>
                <c:pt idx="164">
                  <c:v>30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30.478999999999999</c:v>
                </c:pt>
                <c:pt idx="169">
                  <c:v>36</c:v>
                </c:pt>
                <c:pt idx="170">
                  <c:v>31.1</c:v>
                </c:pt>
                <c:pt idx="171">
                  <c:v>30.939</c:v>
                </c:pt>
                <c:pt idx="172">
                  <c:v>31.3</c:v>
                </c:pt>
                <c:pt idx="173">
                  <c:v>32.475000000000001</c:v>
                </c:pt>
                <c:pt idx="174">
                  <c:v>33.058</c:v>
                </c:pt>
                <c:pt idx="175">
                  <c:v>33.545000000000002</c:v>
                </c:pt>
                <c:pt idx="176">
                  <c:v>33.9</c:v>
                </c:pt>
                <c:pt idx="177">
                  <c:v>34.299999999999997</c:v>
                </c:pt>
                <c:pt idx="178">
                  <c:v>34.5</c:v>
                </c:pt>
                <c:pt idx="179">
                  <c:v>34.655000000000001</c:v>
                </c:pt>
                <c:pt idx="180">
                  <c:v>34.700000000000003</c:v>
                </c:pt>
                <c:pt idx="181">
                  <c:v>34.94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36.618000000000002</c:v>
                </c:pt>
                <c:pt idx="186">
                  <c:v>35.343000000000004</c:v>
                </c:pt>
                <c:pt idx="187">
                  <c:v>35.9</c:v>
                </c:pt>
                <c:pt idx="188">
                  <c:v>35.35</c:v>
                </c:pt>
                <c:pt idx="190">
                  <c:v>35.5</c:v>
                </c:pt>
                <c:pt idx="191">
                  <c:v>35.6</c:v>
                </c:pt>
                <c:pt idx="193">
                  <c:v>36</c:v>
                </c:pt>
              </c:numCache>
            </c:numRef>
          </c:xVal>
          <c:yVal>
            <c:numRef>
              <c:f>Sheet1!$R$3:$R$196</c:f>
              <c:numCache>
                <c:formatCode>General</c:formatCode>
                <c:ptCount val="194"/>
                <c:pt idx="0">
                  <c:v>0.3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1.1000000000000001</c:v>
                </c:pt>
                <c:pt idx="5">
                  <c:v>1.3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2.0299999999999998</c:v>
                </c:pt>
                <c:pt idx="11">
                  <c:v>2.0499999999999998</c:v>
                </c:pt>
                <c:pt idx="12">
                  <c:v>2.15</c:v>
                </c:pt>
                <c:pt idx="13">
                  <c:v>2.35</c:v>
                </c:pt>
                <c:pt idx="14">
                  <c:v>2.5499999999999998</c:v>
                </c:pt>
                <c:pt idx="15">
                  <c:v>2.58</c:v>
                </c:pt>
                <c:pt idx="16">
                  <c:v>2.8</c:v>
                </c:pt>
                <c:pt idx="17">
                  <c:v>3.05</c:v>
                </c:pt>
                <c:pt idx="18">
                  <c:v>3.25</c:v>
                </c:pt>
                <c:pt idx="19">
                  <c:v>3.53</c:v>
                </c:pt>
                <c:pt idx="20">
                  <c:v>4.2</c:v>
                </c:pt>
                <c:pt idx="21">
                  <c:v>4.25</c:v>
                </c:pt>
                <c:pt idx="22">
                  <c:v>4.9000000000000004</c:v>
                </c:pt>
                <c:pt idx="23">
                  <c:v>5.35</c:v>
                </c:pt>
                <c:pt idx="24">
                  <c:v>5.8</c:v>
                </c:pt>
                <c:pt idx="25">
                  <c:v>5.95</c:v>
                </c:pt>
                <c:pt idx="26">
                  <c:v>6.9</c:v>
                </c:pt>
                <c:pt idx="27">
                  <c:v>8</c:v>
                </c:pt>
                <c:pt idx="28">
                  <c:v>8.5749999999999993</c:v>
                </c:pt>
                <c:pt idx="29">
                  <c:v>8.8000000000000007</c:v>
                </c:pt>
                <c:pt idx="30">
                  <c:v>9.65</c:v>
                </c:pt>
                <c:pt idx="31">
                  <c:v>10</c:v>
                </c:pt>
                <c:pt idx="32">
                  <c:v>10.15</c:v>
                </c:pt>
                <c:pt idx="33">
                  <c:v>10.83</c:v>
                </c:pt>
                <c:pt idx="34">
                  <c:v>10.83</c:v>
                </c:pt>
                <c:pt idx="35">
                  <c:v>10.83</c:v>
                </c:pt>
                <c:pt idx="36">
                  <c:v>12.2</c:v>
                </c:pt>
                <c:pt idx="37">
                  <c:v>13.8</c:v>
                </c:pt>
                <c:pt idx="38">
                  <c:v>14.035</c:v>
                </c:pt>
                <c:pt idx="39">
                  <c:v>14.3</c:v>
                </c:pt>
                <c:pt idx="40">
                  <c:v>14.955</c:v>
                </c:pt>
                <c:pt idx="41">
                  <c:v>15.9</c:v>
                </c:pt>
                <c:pt idx="42">
                  <c:v>18.5</c:v>
                </c:pt>
                <c:pt idx="43">
                  <c:v>20.329999999999998</c:v>
                </c:pt>
                <c:pt idx="44">
                  <c:v>24.2</c:v>
                </c:pt>
                <c:pt idx="45">
                  <c:v>28.22</c:v>
                </c:pt>
                <c:pt idx="46">
                  <c:v>28.585000000000001</c:v>
                </c:pt>
                <c:pt idx="47">
                  <c:v>29.6</c:v>
                </c:pt>
                <c:pt idx="48">
                  <c:v>31.1</c:v>
                </c:pt>
                <c:pt idx="49">
                  <c:v>33.6</c:v>
                </c:pt>
                <c:pt idx="50">
                  <c:v>42.7</c:v>
                </c:pt>
                <c:pt idx="51">
                  <c:v>47.33</c:v>
                </c:pt>
                <c:pt idx="52">
                  <c:v>47.62</c:v>
                </c:pt>
                <c:pt idx="53">
                  <c:v>48</c:v>
                </c:pt>
                <c:pt idx="54">
                  <c:v>50.7</c:v>
                </c:pt>
                <c:pt idx="55">
                  <c:v>61.5</c:v>
                </c:pt>
                <c:pt idx="56">
                  <c:v>71.099999999999994</c:v>
                </c:pt>
                <c:pt idx="57">
                  <c:v>76.12</c:v>
                </c:pt>
                <c:pt idx="58">
                  <c:v>76.12</c:v>
                </c:pt>
                <c:pt idx="59">
                  <c:v>79.8</c:v>
                </c:pt>
                <c:pt idx="60">
                  <c:v>83.495000000000005</c:v>
                </c:pt>
                <c:pt idx="61">
                  <c:v>84.204999999999998</c:v>
                </c:pt>
                <c:pt idx="62">
                  <c:v>87.89</c:v>
                </c:pt>
                <c:pt idx="63">
                  <c:v>89.9</c:v>
                </c:pt>
                <c:pt idx="64">
                  <c:v>98.97</c:v>
                </c:pt>
                <c:pt idx="65">
                  <c:v>99.572999999999993</c:v>
                </c:pt>
                <c:pt idx="66">
                  <c:v>103.2</c:v>
                </c:pt>
                <c:pt idx="67">
                  <c:v>104</c:v>
                </c:pt>
                <c:pt idx="68">
                  <c:v>106.205</c:v>
                </c:pt>
                <c:pt idx="69">
                  <c:v>107.3</c:v>
                </c:pt>
                <c:pt idx="70">
                  <c:v>110.705</c:v>
                </c:pt>
                <c:pt idx="71">
                  <c:v>114.12</c:v>
                </c:pt>
                <c:pt idx="72">
                  <c:v>120.80500000000001</c:v>
                </c:pt>
                <c:pt idx="73">
                  <c:v>120.82</c:v>
                </c:pt>
                <c:pt idx="74">
                  <c:v>129.005</c:v>
                </c:pt>
                <c:pt idx="75">
                  <c:v>129.28299999999999</c:v>
                </c:pt>
                <c:pt idx="76">
                  <c:v>129.28299999999999</c:v>
                </c:pt>
                <c:pt idx="77">
                  <c:v>130.41999999999999</c:v>
                </c:pt>
                <c:pt idx="78">
                  <c:v>130.41999999999999</c:v>
                </c:pt>
                <c:pt idx="79">
                  <c:v>130.5</c:v>
                </c:pt>
                <c:pt idx="80">
                  <c:v>132.38800000000001</c:v>
                </c:pt>
                <c:pt idx="81">
                  <c:v>140.02000000000001</c:v>
                </c:pt>
                <c:pt idx="82">
                  <c:v>149.53</c:v>
                </c:pt>
                <c:pt idx="83">
                  <c:v>152.69999999999999</c:v>
                </c:pt>
                <c:pt idx="84">
                  <c:v>159.505</c:v>
                </c:pt>
                <c:pt idx="85">
                  <c:v>176.048</c:v>
                </c:pt>
                <c:pt idx="86">
                  <c:v>185.31</c:v>
                </c:pt>
                <c:pt idx="87">
                  <c:v>188.02</c:v>
                </c:pt>
                <c:pt idx="88">
                  <c:v>188.02</c:v>
                </c:pt>
                <c:pt idx="89">
                  <c:v>197.80500000000001</c:v>
                </c:pt>
                <c:pt idx="90">
                  <c:v>221.505</c:v>
                </c:pt>
                <c:pt idx="91">
                  <c:v>226.10300000000001</c:v>
                </c:pt>
                <c:pt idx="92">
                  <c:v>226.10300000000001</c:v>
                </c:pt>
                <c:pt idx="93">
                  <c:v>236.20500000000001</c:v>
                </c:pt>
                <c:pt idx="94">
                  <c:v>240.52</c:v>
                </c:pt>
                <c:pt idx="95">
                  <c:v>242.20500000000001</c:v>
                </c:pt>
                <c:pt idx="96">
                  <c:v>255.27</c:v>
                </c:pt>
                <c:pt idx="97">
                  <c:v>261.75</c:v>
                </c:pt>
                <c:pt idx="98">
                  <c:v>264.91000000000003</c:v>
                </c:pt>
                <c:pt idx="99">
                  <c:v>272.2</c:v>
                </c:pt>
                <c:pt idx="100">
                  <c:v>276.7</c:v>
                </c:pt>
                <c:pt idx="101">
                  <c:v>279</c:v>
                </c:pt>
                <c:pt idx="102">
                  <c:v>280.35500000000002</c:v>
                </c:pt>
                <c:pt idx="103">
                  <c:v>282.10000000000002</c:v>
                </c:pt>
                <c:pt idx="104">
                  <c:v>287.39999999999998</c:v>
                </c:pt>
                <c:pt idx="105">
                  <c:v>288.53800000000001</c:v>
                </c:pt>
                <c:pt idx="106">
                  <c:v>292.2</c:v>
                </c:pt>
                <c:pt idx="107">
                  <c:v>293.70999999999998</c:v>
                </c:pt>
                <c:pt idx="108">
                  <c:v>293.80500000000001</c:v>
                </c:pt>
                <c:pt idx="109">
                  <c:v>296.5</c:v>
                </c:pt>
                <c:pt idx="110">
                  <c:v>298.00799999999998</c:v>
                </c:pt>
                <c:pt idx="111">
                  <c:v>299.55500000000001</c:v>
                </c:pt>
                <c:pt idx="112">
                  <c:v>307</c:v>
                </c:pt>
                <c:pt idx="113">
                  <c:v>307.173</c:v>
                </c:pt>
                <c:pt idx="114">
                  <c:v>312.18299999999999</c:v>
                </c:pt>
                <c:pt idx="115">
                  <c:v>313.90499999999997</c:v>
                </c:pt>
                <c:pt idx="116">
                  <c:v>315</c:v>
                </c:pt>
                <c:pt idx="117">
                  <c:v>318.613</c:v>
                </c:pt>
                <c:pt idx="118">
                  <c:v>321.2</c:v>
                </c:pt>
                <c:pt idx="119">
                  <c:v>334.6</c:v>
                </c:pt>
                <c:pt idx="120">
                  <c:v>339.24</c:v>
                </c:pt>
                <c:pt idx="121">
                  <c:v>339.5</c:v>
                </c:pt>
                <c:pt idx="122">
                  <c:v>341.11</c:v>
                </c:pt>
                <c:pt idx="123">
                  <c:v>341.5</c:v>
                </c:pt>
                <c:pt idx="124">
                  <c:v>343.7</c:v>
                </c:pt>
                <c:pt idx="125">
                  <c:v>346.7</c:v>
                </c:pt>
                <c:pt idx="126">
                  <c:v>349.8</c:v>
                </c:pt>
                <c:pt idx="127">
                  <c:v>351.1</c:v>
                </c:pt>
                <c:pt idx="128">
                  <c:v>351.8</c:v>
                </c:pt>
                <c:pt idx="129">
                  <c:v>353.5</c:v>
                </c:pt>
                <c:pt idx="130">
                  <c:v>358.4</c:v>
                </c:pt>
                <c:pt idx="131">
                  <c:v>359</c:v>
                </c:pt>
                <c:pt idx="132">
                  <c:v>359.9</c:v>
                </c:pt>
                <c:pt idx="133">
                  <c:v>366</c:v>
                </c:pt>
                <c:pt idx="134">
                  <c:v>371.3</c:v>
                </c:pt>
                <c:pt idx="135">
                  <c:v>379.61</c:v>
                </c:pt>
                <c:pt idx="136">
                  <c:v>386.2</c:v>
                </c:pt>
                <c:pt idx="137">
                  <c:v>409.483</c:v>
                </c:pt>
                <c:pt idx="138">
                  <c:v>428.19499999999999</c:v>
                </c:pt>
                <c:pt idx="139">
                  <c:v>437.70499999999998</c:v>
                </c:pt>
                <c:pt idx="140">
                  <c:v>440.14499999999998</c:v>
                </c:pt>
                <c:pt idx="141">
                  <c:v>462.6</c:v>
                </c:pt>
                <c:pt idx="142">
                  <c:v>469.91</c:v>
                </c:pt>
                <c:pt idx="143">
                  <c:v>472</c:v>
                </c:pt>
                <c:pt idx="144">
                  <c:v>483.96</c:v>
                </c:pt>
                <c:pt idx="145">
                  <c:v>500</c:v>
                </c:pt>
                <c:pt idx="146">
                  <c:v>509.35</c:v>
                </c:pt>
                <c:pt idx="147">
                  <c:v>519.98</c:v>
                </c:pt>
                <c:pt idx="148">
                  <c:v>530.66999999999996</c:v>
                </c:pt>
                <c:pt idx="149">
                  <c:v>536.71</c:v>
                </c:pt>
                <c:pt idx="150">
                  <c:v>542.26</c:v>
                </c:pt>
                <c:pt idx="151">
                  <c:v>542.26</c:v>
                </c:pt>
                <c:pt idx="152">
                  <c:v>546.20000000000005</c:v>
                </c:pt>
                <c:pt idx="153">
                  <c:v>547.35</c:v>
                </c:pt>
                <c:pt idx="154">
                  <c:v>560.30999999999995</c:v>
                </c:pt>
                <c:pt idx="155">
                  <c:v>563.61</c:v>
                </c:pt>
                <c:pt idx="156">
                  <c:v>566.52499999999998</c:v>
                </c:pt>
                <c:pt idx="157">
                  <c:v>569.16</c:v>
                </c:pt>
                <c:pt idx="158">
                  <c:v>572.9</c:v>
                </c:pt>
                <c:pt idx="159">
                  <c:v>592</c:v>
                </c:pt>
                <c:pt idx="160">
                  <c:v>600</c:v>
                </c:pt>
                <c:pt idx="161">
                  <c:v>636.36</c:v>
                </c:pt>
                <c:pt idx="162">
                  <c:v>658.96</c:v>
                </c:pt>
                <c:pt idx="163">
                  <c:v>669.30499999999995</c:v>
                </c:pt>
                <c:pt idx="164">
                  <c:v>692.71</c:v>
                </c:pt>
                <c:pt idx="165">
                  <c:v>699.07500000000005</c:v>
                </c:pt>
                <c:pt idx="166">
                  <c:v>705.05799999999999</c:v>
                </c:pt>
                <c:pt idx="167">
                  <c:v>705.05799999999999</c:v>
                </c:pt>
                <c:pt idx="168">
                  <c:v>706.1</c:v>
                </c:pt>
                <c:pt idx="169">
                  <c:v>710.125</c:v>
                </c:pt>
                <c:pt idx="170">
                  <c:v>710.81299999999999</c:v>
                </c:pt>
                <c:pt idx="171">
                  <c:v>729.9</c:v>
                </c:pt>
                <c:pt idx="172">
                  <c:v>733.42</c:v>
                </c:pt>
                <c:pt idx="173">
                  <c:v>733.42</c:v>
                </c:pt>
                <c:pt idx="174">
                  <c:v>733.95</c:v>
                </c:pt>
                <c:pt idx="175">
                  <c:v>740.7</c:v>
                </c:pt>
                <c:pt idx="176">
                  <c:v>744.7</c:v>
                </c:pt>
                <c:pt idx="177">
                  <c:v>747.68799999999999</c:v>
                </c:pt>
                <c:pt idx="178">
                  <c:v>750.89800000000002</c:v>
                </c:pt>
                <c:pt idx="179">
                  <c:v>772</c:v>
                </c:pt>
                <c:pt idx="180">
                  <c:v>753.44799999999998</c:v>
                </c:pt>
                <c:pt idx="181">
                  <c:v>781</c:v>
                </c:pt>
                <c:pt idx="182">
                  <c:v>796.66</c:v>
                </c:pt>
                <c:pt idx="183">
                  <c:v>796.66</c:v>
                </c:pt>
                <c:pt idx="184">
                  <c:v>799.15</c:v>
                </c:pt>
                <c:pt idx="185">
                  <c:v>800</c:v>
                </c:pt>
                <c:pt idx="186">
                  <c:v>807</c:v>
                </c:pt>
                <c:pt idx="187">
                  <c:v>816.90499999999997</c:v>
                </c:pt>
                <c:pt idx="188">
                  <c:v>819.89</c:v>
                </c:pt>
                <c:pt idx="189">
                  <c:v>831</c:v>
                </c:pt>
                <c:pt idx="190">
                  <c:v>833.46</c:v>
                </c:pt>
                <c:pt idx="191">
                  <c:v>839.76</c:v>
                </c:pt>
                <c:pt idx="192">
                  <c:v>844</c:v>
                </c:pt>
                <c:pt idx="193">
                  <c:v>878.64300000000003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E-2341-A5C3-89D13DC3E61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Sheet1!$G$3:$G$196</c:f>
              <c:numCache>
                <c:formatCode>General</c:formatCode>
                <c:ptCount val="194"/>
                <c:pt idx="0">
                  <c:v>1.7999999999999999E-2</c:v>
                </c:pt>
                <c:pt idx="1">
                  <c:v>8.5000000000000006E-2</c:v>
                </c:pt>
                <c:pt idx="2">
                  <c:v>2.1899999999999999E-2</c:v>
                </c:pt>
                <c:pt idx="3">
                  <c:v>5.0200000000000002E-2</c:v>
                </c:pt>
                <c:pt idx="4">
                  <c:v>6.4100000000000004E-2</c:v>
                </c:pt>
                <c:pt idx="5">
                  <c:v>9.64E-2</c:v>
                </c:pt>
                <c:pt idx="6">
                  <c:v>0.1226</c:v>
                </c:pt>
                <c:pt idx="7">
                  <c:v>0.1351</c:v>
                </c:pt>
                <c:pt idx="8">
                  <c:v>0.17510000000000001</c:v>
                </c:pt>
                <c:pt idx="9">
                  <c:v>0.19309999999999999</c:v>
                </c:pt>
                <c:pt idx="10">
                  <c:v>0.24</c:v>
                </c:pt>
                <c:pt idx="11">
                  <c:v>0.2155</c:v>
                </c:pt>
                <c:pt idx="12">
                  <c:v>0.2402</c:v>
                </c:pt>
                <c:pt idx="13">
                  <c:v>0.26569999999999999</c:v>
                </c:pt>
                <c:pt idx="14">
                  <c:v>0.28849999999999998</c:v>
                </c:pt>
                <c:pt idx="15">
                  <c:v>0.78100000000000003</c:v>
                </c:pt>
                <c:pt idx="16">
                  <c:v>0.31</c:v>
                </c:pt>
                <c:pt idx="17">
                  <c:v>0.33100000000000002</c:v>
                </c:pt>
                <c:pt idx="18">
                  <c:v>0.34100000000000003</c:v>
                </c:pt>
                <c:pt idx="19">
                  <c:v>0.44</c:v>
                </c:pt>
                <c:pt idx="20">
                  <c:v>0.98799999999999999</c:v>
                </c:pt>
                <c:pt idx="21">
                  <c:v>0.40500000000000003</c:v>
                </c:pt>
                <c:pt idx="22">
                  <c:v>0.434</c:v>
                </c:pt>
                <c:pt idx="23">
                  <c:v>0.47099999999999997</c:v>
                </c:pt>
                <c:pt idx="24">
                  <c:v>1.0720000000000001</c:v>
                </c:pt>
                <c:pt idx="25">
                  <c:v>0.51200000000000001</c:v>
                </c:pt>
                <c:pt idx="26">
                  <c:v>0.625</c:v>
                </c:pt>
                <c:pt idx="27">
                  <c:v>0.72199999999999998</c:v>
                </c:pt>
                <c:pt idx="28">
                  <c:v>1.1850000000000001</c:v>
                </c:pt>
                <c:pt idx="29">
                  <c:v>0.79600000000000004</c:v>
                </c:pt>
                <c:pt idx="30">
                  <c:v>0.872</c:v>
                </c:pt>
                <c:pt idx="31">
                  <c:v>1.778</c:v>
                </c:pt>
                <c:pt idx="32">
                  <c:v>0.92</c:v>
                </c:pt>
                <c:pt idx="33">
                  <c:v>1.1850000000000001</c:v>
                </c:pt>
                <c:pt idx="34">
                  <c:v>1.1850000000000001</c:v>
                </c:pt>
                <c:pt idx="35">
                  <c:v>1.7</c:v>
                </c:pt>
                <c:pt idx="36">
                  <c:v>1.9450000000000001</c:v>
                </c:pt>
                <c:pt idx="37">
                  <c:v>1.1850000000000001</c:v>
                </c:pt>
                <c:pt idx="38">
                  <c:v>1.9309999999999998</c:v>
                </c:pt>
                <c:pt idx="39">
                  <c:v>2.1480000000000001</c:v>
                </c:pt>
                <c:pt idx="40">
                  <c:v>1.1850000000000001</c:v>
                </c:pt>
                <c:pt idx="41">
                  <c:v>2.15</c:v>
                </c:pt>
                <c:pt idx="42">
                  <c:v>2.581</c:v>
                </c:pt>
                <c:pt idx="43">
                  <c:v>2.4900000000000002</c:v>
                </c:pt>
                <c:pt idx="44">
                  <c:v>3.032</c:v>
                </c:pt>
                <c:pt idx="45">
                  <c:v>2.2999999999999998</c:v>
                </c:pt>
                <c:pt idx="46">
                  <c:v>2.76</c:v>
                </c:pt>
                <c:pt idx="47">
                  <c:v>3.1160000000000001</c:v>
                </c:pt>
                <c:pt idx="48">
                  <c:v>3.2069999999999999</c:v>
                </c:pt>
                <c:pt idx="49">
                  <c:v>3.33</c:v>
                </c:pt>
                <c:pt idx="50">
                  <c:v>3.5960000000000001</c:v>
                </c:pt>
                <c:pt idx="51">
                  <c:v>3.7</c:v>
                </c:pt>
                <c:pt idx="52">
                  <c:v>4.37</c:v>
                </c:pt>
                <c:pt idx="53">
                  <c:v>4.1870000000000003</c:v>
                </c:pt>
                <c:pt idx="54">
                  <c:v>4.3</c:v>
                </c:pt>
                <c:pt idx="55">
                  <c:v>4.6310000000000002</c:v>
                </c:pt>
                <c:pt idx="56">
                  <c:v>4.9969999999999999</c:v>
                </c:pt>
                <c:pt idx="57">
                  <c:v>4.3075999999999999</c:v>
                </c:pt>
                <c:pt idx="58">
                  <c:v>5.0449999999999999</c:v>
                </c:pt>
                <c:pt idx="59">
                  <c:v>5.2350000000000003</c:v>
                </c:pt>
                <c:pt idx="60">
                  <c:v>5.72</c:v>
                </c:pt>
                <c:pt idx="61">
                  <c:v>5.5335999999999999</c:v>
                </c:pt>
                <c:pt idx="62">
                  <c:v>4.47</c:v>
                </c:pt>
                <c:pt idx="63">
                  <c:v>6.0330000000000004</c:v>
                </c:pt>
                <c:pt idx="64">
                  <c:v>6.7329999999999997</c:v>
                </c:pt>
                <c:pt idx="65">
                  <c:v>5.0449999999999999</c:v>
                </c:pt>
                <c:pt idx="67">
                  <c:v>7.14</c:v>
                </c:pt>
                <c:pt idx="68">
                  <c:v>7.165</c:v>
                </c:pt>
                <c:pt idx="69">
                  <c:v>7.2119999999999997</c:v>
                </c:pt>
                <c:pt idx="70">
                  <c:v>7.42</c:v>
                </c:pt>
                <c:pt idx="71">
                  <c:v>5.3825000000000003</c:v>
                </c:pt>
                <c:pt idx="73">
                  <c:v>7.3599999999999994</c:v>
                </c:pt>
                <c:pt idx="74">
                  <c:v>7.681</c:v>
                </c:pt>
                <c:pt idx="78">
                  <c:v>7.9849999999999994</c:v>
                </c:pt>
                <c:pt idx="80">
                  <c:v>9.3925000000000001</c:v>
                </c:pt>
                <c:pt idx="81">
                  <c:v>9.6675000000000004</c:v>
                </c:pt>
                <c:pt idx="83">
                  <c:v>9.6319999999999997</c:v>
                </c:pt>
                <c:pt idx="85">
                  <c:v>10.145</c:v>
                </c:pt>
                <c:pt idx="87">
                  <c:v>9.2050000000000001</c:v>
                </c:pt>
                <c:pt idx="88">
                  <c:v>11.045000000000002</c:v>
                </c:pt>
                <c:pt idx="89">
                  <c:v>12.063000000000001</c:v>
                </c:pt>
                <c:pt idx="90">
                  <c:v>12.552</c:v>
                </c:pt>
                <c:pt idx="91">
                  <c:v>11.045000000000002</c:v>
                </c:pt>
                <c:pt idx="92">
                  <c:v>11.977599999999999</c:v>
                </c:pt>
                <c:pt idx="93">
                  <c:v>13.53</c:v>
                </c:pt>
                <c:pt idx="95">
                  <c:v>13.53</c:v>
                </c:pt>
                <c:pt idx="96">
                  <c:v>15.1</c:v>
                </c:pt>
                <c:pt idx="97">
                  <c:v>15.931999999999999</c:v>
                </c:pt>
                <c:pt idx="98">
                  <c:v>16.275500000000001</c:v>
                </c:pt>
                <c:pt idx="99">
                  <c:v>16.268000000000001</c:v>
                </c:pt>
                <c:pt idx="100">
                  <c:v>16.303000000000001</c:v>
                </c:pt>
                <c:pt idx="101">
                  <c:v>16.472000000000001</c:v>
                </c:pt>
                <c:pt idx="102">
                  <c:v>17.797999999999998</c:v>
                </c:pt>
                <c:pt idx="103">
                  <c:v>16.542999999999999</c:v>
                </c:pt>
                <c:pt idx="104">
                  <c:v>16.721</c:v>
                </c:pt>
                <c:pt idx="105">
                  <c:v>17.54</c:v>
                </c:pt>
                <c:pt idx="106">
                  <c:v>17.234999999999999</c:v>
                </c:pt>
                <c:pt idx="107">
                  <c:v>16.96</c:v>
                </c:pt>
                <c:pt idx="108">
                  <c:v>17.95</c:v>
                </c:pt>
                <c:pt idx="109">
                  <c:v>17.533000000000001</c:v>
                </c:pt>
                <c:pt idx="110">
                  <c:v>17.2425</c:v>
                </c:pt>
                <c:pt idx="111">
                  <c:v>17.992799999999999</c:v>
                </c:pt>
                <c:pt idx="112">
                  <c:v>18.056000000000001</c:v>
                </c:pt>
                <c:pt idx="113">
                  <c:v>18.296800000000001</c:v>
                </c:pt>
                <c:pt idx="114">
                  <c:v>20.21</c:v>
                </c:pt>
                <c:pt idx="115">
                  <c:v>19.040200000000002</c:v>
                </c:pt>
                <c:pt idx="116">
                  <c:v>18.524000000000001</c:v>
                </c:pt>
                <c:pt idx="118">
                  <c:v>18.748000000000001</c:v>
                </c:pt>
                <c:pt idx="119">
                  <c:v>19.722000000000001</c:v>
                </c:pt>
                <c:pt idx="120">
                  <c:v>21.78</c:v>
                </c:pt>
                <c:pt idx="121">
                  <c:v>20.04</c:v>
                </c:pt>
                <c:pt idx="122">
                  <c:v>20.7742</c:v>
                </c:pt>
                <c:pt idx="123">
                  <c:v>20.213000000000001</c:v>
                </c:pt>
                <c:pt idx="124">
                  <c:v>20.439</c:v>
                </c:pt>
                <c:pt idx="125">
                  <c:v>20.709</c:v>
                </c:pt>
                <c:pt idx="126">
                  <c:v>21.082999999999998</c:v>
                </c:pt>
                <c:pt idx="127">
                  <c:v>21.158999999999999</c:v>
                </c:pt>
                <c:pt idx="128">
                  <c:v>21.402999999999999</c:v>
                </c:pt>
                <c:pt idx="129">
                  <c:v>21.483000000000001</c:v>
                </c:pt>
                <c:pt idx="130">
                  <c:v>21.658999999999999</c:v>
                </c:pt>
                <c:pt idx="131">
                  <c:v>21.687999999999999</c:v>
                </c:pt>
                <c:pt idx="132">
                  <c:v>21.766999999999999</c:v>
                </c:pt>
                <c:pt idx="133">
                  <c:v>21.936</c:v>
                </c:pt>
                <c:pt idx="134">
                  <c:v>21.992000000000001</c:v>
                </c:pt>
                <c:pt idx="135">
                  <c:v>22.700000000000003</c:v>
                </c:pt>
                <c:pt idx="136">
                  <c:v>22.268000000000001</c:v>
                </c:pt>
                <c:pt idx="137">
                  <c:v>22.44</c:v>
                </c:pt>
                <c:pt idx="139">
                  <c:v>22.8</c:v>
                </c:pt>
                <c:pt idx="140">
                  <c:v>22.975000000000001</c:v>
                </c:pt>
                <c:pt idx="141">
                  <c:v>23.295000000000002</c:v>
                </c:pt>
                <c:pt idx="143">
                  <c:v>23.962</c:v>
                </c:pt>
                <c:pt idx="144">
                  <c:v>24.76</c:v>
                </c:pt>
                <c:pt idx="145">
                  <c:v>24.984000000000002</c:v>
                </c:pt>
                <c:pt idx="146">
                  <c:v>25.099</c:v>
                </c:pt>
                <c:pt idx="147">
                  <c:v>24.984999999999999</c:v>
                </c:pt>
                <c:pt idx="148">
                  <c:v>27.509999999999998</c:v>
                </c:pt>
                <c:pt idx="151">
                  <c:v>26.9</c:v>
                </c:pt>
                <c:pt idx="152">
                  <c:v>27.439</c:v>
                </c:pt>
                <c:pt idx="156">
                  <c:v>28.09</c:v>
                </c:pt>
                <c:pt idx="158">
                  <c:v>27.859000000000002</c:v>
                </c:pt>
                <c:pt idx="159">
                  <c:v>28.277999999999999</c:v>
                </c:pt>
                <c:pt idx="160">
                  <c:v>29.477</c:v>
                </c:pt>
                <c:pt idx="168">
                  <c:v>30.591000000000001</c:v>
                </c:pt>
                <c:pt idx="170">
                  <c:v>31.78</c:v>
                </c:pt>
                <c:pt idx="171">
                  <c:v>31.033999999999999</c:v>
                </c:pt>
                <c:pt idx="172">
                  <c:v>32.020000000000003</c:v>
                </c:pt>
                <c:pt idx="173">
                  <c:v>32.47</c:v>
                </c:pt>
                <c:pt idx="174">
                  <c:v>33.156999999999996</c:v>
                </c:pt>
                <c:pt idx="175">
                  <c:v>33.704999999999998</c:v>
                </c:pt>
                <c:pt idx="176">
                  <c:v>34.1</c:v>
                </c:pt>
                <c:pt idx="177">
                  <c:v>34.549999999999997</c:v>
                </c:pt>
                <c:pt idx="178">
                  <c:v>34.700000000000003</c:v>
                </c:pt>
                <c:pt idx="179">
                  <c:v>34.999000000000002</c:v>
                </c:pt>
                <c:pt idx="181">
                  <c:v>35.293999999999997</c:v>
                </c:pt>
                <c:pt idx="182">
                  <c:v>35.700000000000003</c:v>
                </c:pt>
                <c:pt idx="183">
                  <c:v>35.75</c:v>
                </c:pt>
                <c:pt idx="184">
                  <c:v>35</c:v>
                </c:pt>
                <c:pt idx="185">
                  <c:v>35.706000000000003</c:v>
                </c:pt>
                <c:pt idx="186">
                  <c:v>35.706000000000003</c:v>
                </c:pt>
                <c:pt idx="187">
                  <c:v>35.704999999999998</c:v>
                </c:pt>
                <c:pt idx="188">
                  <c:v>35.75</c:v>
                </c:pt>
                <c:pt idx="189">
                  <c:v>36.051000000000002</c:v>
                </c:pt>
                <c:pt idx="190">
                  <c:v>35.9</c:v>
                </c:pt>
                <c:pt idx="191">
                  <c:v>36.5</c:v>
                </c:pt>
                <c:pt idx="192">
                  <c:v>36.700000000000003</c:v>
                </c:pt>
                <c:pt idx="193">
                  <c:v>37</c:v>
                </c:pt>
              </c:numCache>
            </c:numRef>
          </c:xVal>
          <c:yVal>
            <c:numRef>
              <c:f>Sheet1!$R$3:$R$196</c:f>
              <c:numCache>
                <c:formatCode>General</c:formatCode>
                <c:ptCount val="194"/>
                <c:pt idx="0">
                  <c:v>0.3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1.1000000000000001</c:v>
                </c:pt>
                <c:pt idx="5">
                  <c:v>1.3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2.0299999999999998</c:v>
                </c:pt>
                <c:pt idx="11">
                  <c:v>2.0499999999999998</c:v>
                </c:pt>
                <c:pt idx="12">
                  <c:v>2.15</c:v>
                </c:pt>
                <c:pt idx="13">
                  <c:v>2.35</c:v>
                </c:pt>
                <c:pt idx="14">
                  <c:v>2.5499999999999998</c:v>
                </c:pt>
                <c:pt idx="15">
                  <c:v>2.58</c:v>
                </c:pt>
                <c:pt idx="16">
                  <c:v>2.8</c:v>
                </c:pt>
                <c:pt idx="17">
                  <c:v>3.05</c:v>
                </c:pt>
                <c:pt idx="18">
                  <c:v>3.25</c:v>
                </c:pt>
                <c:pt idx="19">
                  <c:v>3.53</c:v>
                </c:pt>
                <c:pt idx="20">
                  <c:v>4.2</c:v>
                </c:pt>
                <c:pt idx="21">
                  <c:v>4.25</c:v>
                </c:pt>
                <c:pt idx="22">
                  <c:v>4.9000000000000004</c:v>
                </c:pt>
                <c:pt idx="23">
                  <c:v>5.35</c:v>
                </c:pt>
                <c:pt idx="24">
                  <c:v>5.8</c:v>
                </c:pt>
                <c:pt idx="25">
                  <c:v>5.95</c:v>
                </c:pt>
                <c:pt idx="26">
                  <c:v>6.9</c:v>
                </c:pt>
                <c:pt idx="27">
                  <c:v>8</c:v>
                </c:pt>
                <c:pt idx="28">
                  <c:v>8.5749999999999993</c:v>
                </c:pt>
                <c:pt idx="29">
                  <c:v>8.8000000000000007</c:v>
                </c:pt>
                <c:pt idx="30">
                  <c:v>9.65</c:v>
                </c:pt>
                <c:pt idx="31">
                  <c:v>10</c:v>
                </c:pt>
                <c:pt idx="32">
                  <c:v>10.15</c:v>
                </c:pt>
                <c:pt idx="33">
                  <c:v>10.83</c:v>
                </c:pt>
                <c:pt idx="34">
                  <c:v>10.83</c:v>
                </c:pt>
                <c:pt idx="35">
                  <c:v>10.83</c:v>
                </c:pt>
                <c:pt idx="36">
                  <c:v>12.2</c:v>
                </c:pt>
                <c:pt idx="37">
                  <c:v>13.8</c:v>
                </c:pt>
                <c:pt idx="38">
                  <c:v>14.035</c:v>
                </c:pt>
                <c:pt idx="39">
                  <c:v>14.3</c:v>
                </c:pt>
                <c:pt idx="40">
                  <c:v>14.955</c:v>
                </c:pt>
                <c:pt idx="41">
                  <c:v>15.9</c:v>
                </c:pt>
                <c:pt idx="42">
                  <c:v>18.5</c:v>
                </c:pt>
                <c:pt idx="43">
                  <c:v>20.329999999999998</c:v>
                </c:pt>
                <c:pt idx="44">
                  <c:v>24.2</c:v>
                </c:pt>
                <c:pt idx="45">
                  <c:v>28.22</c:v>
                </c:pt>
                <c:pt idx="46">
                  <c:v>28.585000000000001</c:v>
                </c:pt>
                <c:pt idx="47">
                  <c:v>29.6</c:v>
                </c:pt>
                <c:pt idx="48">
                  <c:v>31.1</c:v>
                </c:pt>
                <c:pt idx="49">
                  <c:v>33.6</c:v>
                </c:pt>
                <c:pt idx="50">
                  <c:v>42.7</c:v>
                </c:pt>
                <c:pt idx="51">
                  <c:v>47.33</c:v>
                </c:pt>
                <c:pt idx="52">
                  <c:v>47.62</c:v>
                </c:pt>
                <c:pt idx="53">
                  <c:v>48</c:v>
                </c:pt>
                <c:pt idx="54">
                  <c:v>50.7</c:v>
                </c:pt>
                <c:pt idx="55">
                  <c:v>61.5</c:v>
                </c:pt>
                <c:pt idx="56">
                  <c:v>71.099999999999994</c:v>
                </c:pt>
                <c:pt idx="57">
                  <c:v>76.12</c:v>
                </c:pt>
                <c:pt idx="58">
                  <c:v>76.12</c:v>
                </c:pt>
                <c:pt idx="59">
                  <c:v>79.8</c:v>
                </c:pt>
                <c:pt idx="60">
                  <c:v>83.495000000000005</c:v>
                </c:pt>
                <c:pt idx="61">
                  <c:v>84.204999999999998</c:v>
                </c:pt>
                <c:pt idx="62">
                  <c:v>87.89</c:v>
                </c:pt>
                <c:pt idx="63">
                  <c:v>89.9</c:v>
                </c:pt>
                <c:pt idx="64">
                  <c:v>98.97</c:v>
                </c:pt>
                <c:pt idx="65">
                  <c:v>99.572999999999993</c:v>
                </c:pt>
                <c:pt idx="66">
                  <c:v>103.2</c:v>
                </c:pt>
                <c:pt idx="67">
                  <c:v>104</c:v>
                </c:pt>
                <c:pt idx="68">
                  <c:v>106.205</c:v>
                </c:pt>
                <c:pt idx="69">
                  <c:v>107.3</c:v>
                </c:pt>
                <c:pt idx="70">
                  <c:v>110.705</c:v>
                </c:pt>
                <c:pt idx="71">
                  <c:v>114.12</c:v>
                </c:pt>
                <c:pt idx="72">
                  <c:v>120.80500000000001</c:v>
                </c:pt>
                <c:pt idx="73">
                  <c:v>120.82</c:v>
                </c:pt>
                <c:pt idx="74">
                  <c:v>129.005</c:v>
                </c:pt>
                <c:pt idx="75">
                  <c:v>129.28299999999999</c:v>
                </c:pt>
                <c:pt idx="76">
                  <c:v>129.28299999999999</c:v>
                </c:pt>
                <c:pt idx="77">
                  <c:v>130.41999999999999</c:v>
                </c:pt>
                <c:pt idx="78">
                  <c:v>130.41999999999999</c:v>
                </c:pt>
                <c:pt idx="79">
                  <c:v>130.5</c:v>
                </c:pt>
                <c:pt idx="80">
                  <c:v>132.38800000000001</c:v>
                </c:pt>
                <c:pt idx="81">
                  <c:v>140.02000000000001</c:v>
                </c:pt>
                <c:pt idx="82">
                  <c:v>149.53</c:v>
                </c:pt>
                <c:pt idx="83">
                  <c:v>152.69999999999999</c:v>
                </c:pt>
                <c:pt idx="84">
                  <c:v>159.505</c:v>
                </c:pt>
                <c:pt idx="85">
                  <c:v>176.048</c:v>
                </c:pt>
                <c:pt idx="86">
                  <c:v>185.31</c:v>
                </c:pt>
                <c:pt idx="87">
                  <c:v>188.02</c:v>
                </c:pt>
                <c:pt idx="88">
                  <c:v>188.02</c:v>
                </c:pt>
                <c:pt idx="89">
                  <c:v>197.80500000000001</c:v>
                </c:pt>
                <c:pt idx="90">
                  <c:v>221.505</c:v>
                </c:pt>
                <c:pt idx="91">
                  <c:v>226.10300000000001</c:v>
                </c:pt>
                <c:pt idx="92">
                  <c:v>226.10300000000001</c:v>
                </c:pt>
                <c:pt idx="93">
                  <c:v>236.20500000000001</c:v>
                </c:pt>
                <c:pt idx="94">
                  <c:v>240.52</c:v>
                </c:pt>
                <c:pt idx="95">
                  <c:v>242.20500000000001</c:v>
                </c:pt>
                <c:pt idx="96">
                  <c:v>255.27</c:v>
                </c:pt>
                <c:pt idx="97">
                  <c:v>261.75</c:v>
                </c:pt>
                <c:pt idx="98">
                  <c:v>264.91000000000003</c:v>
                </c:pt>
                <c:pt idx="99">
                  <c:v>272.2</c:v>
                </c:pt>
                <c:pt idx="100">
                  <c:v>276.7</c:v>
                </c:pt>
                <c:pt idx="101">
                  <c:v>279</c:v>
                </c:pt>
                <c:pt idx="102">
                  <c:v>280.35500000000002</c:v>
                </c:pt>
                <c:pt idx="103">
                  <c:v>282.10000000000002</c:v>
                </c:pt>
                <c:pt idx="104">
                  <c:v>287.39999999999998</c:v>
                </c:pt>
                <c:pt idx="105">
                  <c:v>288.53800000000001</c:v>
                </c:pt>
                <c:pt idx="106">
                  <c:v>292.2</c:v>
                </c:pt>
                <c:pt idx="107">
                  <c:v>293.70999999999998</c:v>
                </c:pt>
                <c:pt idx="108">
                  <c:v>293.80500000000001</c:v>
                </c:pt>
                <c:pt idx="109">
                  <c:v>296.5</c:v>
                </c:pt>
                <c:pt idx="110">
                  <c:v>298.00799999999998</c:v>
                </c:pt>
                <c:pt idx="111">
                  <c:v>299.55500000000001</c:v>
                </c:pt>
                <c:pt idx="112">
                  <c:v>307</c:v>
                </c:pt>
                <c:pt idx="113">
                  <c:v>307.173</c:v>
                </c:pt>
                <c:pt idx="114">
                  <c:v>312.18299999999999</c:v>
                </c:pt>
                <c:pt idx="115">
                  <c:v>313.90499999999997</c:v>
                </c:pt>
                <c:pt idx="116">
                  <c:v>315</c:v>
                </c:pt>
                <c:pt idx="117">
                  <c:v>318.613</c:v>
                </c:pt>
                <c:pt idx="118">
                  <c:v>321.2</c:v>
                </c:pt>
                <c:pt idx="119">
                  <c:v>334.6</c:v>
                </c:pt>
                <c:pt idx="120">
                  <c:v>339.24</c:v>
                </c:pt>
                <c:pt idx="121">
                  <c:v>339.5</c:v>
                </c:pt>
                <c:pt idx="122">
                  <c:v>341.11</c:v>
                </c:pt>
                <c:pt idx="123">
                  <c:v>341.5</c:v>
                </c:pt>
                <c:pt idx="124">
                  <c:v>343.7</c:v>
                </c:pt>
                <c:pt idx="125">
                  <c:v>346.7</c:v>
                </c:pt>
                <c:pt idx="126">
                  <c:v>349.8</c:v>
                </c:pt>
                <c:pt idx="127">
                  <c:v>351.1</c:v>
                </c:pt>
                <c:pt idx="128">
                  <c:v>351.8</c:v>
                </c:pt>
                <c:pt idx="129">
                  <c:v>353.5</c:v>
                </c:pt>
                <c:pt idx="130">
                  <c:v>358.4</c:v>
                </c:pt>
                <c:pt idx="131">
                  <c:v>359</c:v>
                </c:pt>
                <c:pt idx="132">
                  <c:v>359.9</c:v>
                </c:pt>
                <c:pt idx="133">
                  <c:v>366</c:v>
                </c:pt>
                <c:pt idx="134">
                  <c:v>371.3</c:v>
                </c:pt>
                <c:pt idx="135">
                  <c:v>379.61</c:v>
                </c:pt>
                <c:pt idx="136">
                  <c:v>386.2</c:v>
                </c:pt>
                <c:pt idx="137">
                  <c:v>409.483</c:v>
                </c:pt>
                <c:pt idx="138">
                  <c:v>428.19499999999999</c:v>
                </c:pt>
                <c:pt idx="139">
                  <c:v>437.70499999999998</c:v>
                </c:pt>
                <c:pt idx="140">
                  <c:v>440.14499999999998</c:v>
                </c:pt>
                <c:pt idx="141">
                  <c:v>462.6</c:v>
                </c:pt>
                <c:pt idx="142">
                  <c:v>469.91</c:v>
                </c:pt>
                <c:pt idx="143">
                  <c:v>472</c:v>
                </c:pt>
                <c:pt idx="144">
                  <c:v>483.96</c:v>
                </c:pt>
                <c:pt idx="145">
                  <c:v>500</c:v>
                </c:pt>
                <c:pt idx="146">
                  <c:v>509.35</c:v>
                </c:pt>
                <c:pt idx="147">
                  <c:v>519.98</c:v>
                </c:pt>
                <c:pt idx="148">
                  <c:v>530.66999999999996</c:v>
                </c:pt>
                <c:pt idx="149">
                  <c:v>536.71</c:v>
                </c:pt>
                <c:pt idx="150">
                  <c:v>542.26</c:v>
                </c:pt>
                <c:pt idx="151">
                  <c:v>542.26</c:v>
                </c:pt>
                <c:pt idx="152">
                  <c:v>546.20000000000005</c:v>
                </c:pt>
                <c:pt idx="153">
                  <c:v>547.35</c:v>
                </c:pt>
                <c:pt idx="154">
                  <c:v>560.30999999999995</c:v>
                </c:pt>
                <c:pt idx="155">
                  <c:v>563.61</c:v>
                </c:pt>
                <c:pt idx="156">
                  <c:v>566.52499999999998</c:v>
                </c:pt>
                <c:pt idx="157">
                  <c:v>569.16</c:v>
                </c:pt>
                <c:pt idx="158">
                  <c:v>572.9</c:v>
                </c:pt>
                <c:pt idx="159">
                  <c:v>592</c:v>
                </c:pt>
                <c:pt idx="160">
                  <c:v>600</c:v>
                </c:pt>
                <c:pt idx="161">
                  <c:v>636.36</c:v>
                </c:pt>
                <c:pt idx="162">
                  <c:v>658.96</c:v>
                </c:pt>
                <c:pt idx="163">
                  <c:v>669.30499999999995</c:v>
                </c:pt>
                <c:pt idx="164">
                  <c:v>692.71</c:v>
                </c:pt>
                <c:pt idx="165">
                  <c:v>699.07500000000005</c:v>
                </c:pt>
                <c:pt idx="166">
                  <c:v>705.05799999999999</c:v>
                </c:pt>
                <c:pt idx="167">
                  <c:v>705.05799999999999</c:v>
                </c:pt>
                <c:pt idx="168">
                  <c:v>706.1</c:v>
                </c:pt>
                <c:pt idx="169">
                  <c:v>710.125</c:v>
                </c:pt>
                <c:pt idx="170">
                  <c:v>710.81299999999999</c:v>
                </c:pt>
                <c:pt idx="171">
                  <c:v>729.9</c:v>
                </c:pt>
                <c:pt idx="172">
                  <c:v>733.42</c:v>
                </c:pt>
                <c:pt idx="173">
                  <c:v>733.42</c:v>
                </c:pt>
                <c:pt idx="174">
                  <c:v>733.95</c:v>
                </c:pt>
                <c:pt idx="175">
                  <c:v>740.7</c:v>
                </c:pt>
                <c:pt idx="176">
                  <c:v>744.7</c:v>
                </c:pt>
                <c:pt idx="177">
                  <c:v>747.68799999999999</c:v>
                </c:pt>
                <c:pt idx="178">
                  <c:v>750.89800000000002</c:v>
                </c:pt>
                <c:pt idx="179">
                  <c:v>772</c:v>
                </c:pt>
                <c:pt idx="180">
                  <c:v>753.44799999999998</c:v>
                </c:pt>
                <c:pt idx="181">
                  <c:v>781</c:v>
                </c:pt>
                <c:pt idx="182">
                  <c:v>796.66</c:v>
                </c:pt>
                <c:pt idx="183">
                  <c:v>796.66</c:v>
                </c:pt>
                <c:pt idx="184">
                  <c:v>799.15</c:v>
                </c:pt>
                <c:pt idx="185">
                  <c:v>800</c:v>
                </c:pt>
                <c:pt idx="186">
                  <c:v>807</c:v>
                </c:pt>
                <c:pt idx="187">
                  <c:v>816.90499999999997</c:v>
                </c:pt>
                <c:pt idx="188">
                  <c:v>819.89</c:v>
                </c:pt>
                <c:pt idx="189">
                  <c:v>831</c:v>
                </c:pt>
                <c:pt idx="190">
                  <c:v>833.46</c:v>
                </c:pt>
                <c:pt idx="191">
                  <c:v>839.76</c:v>
                </c:pt>
                <c:pt idx="192">
                  <c:v>844</c:v>
                </c:pt>
                <c:pt idx="193">
                  <c:v>878.64300000000003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E-2341-A5C3-89D13DC3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75960"/>
        <c:axId val="-2096097112"/>
      </c:scatterChart>
      <c:valAx>
        <c:axId val="-21420759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096097112"/>
        <c:crosses val="autoZero"/>
        <c:crossBetween val="midCat"/>
      </c:valAx>
      <c:valAx>
        <c:axId val="-20960971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7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302847</xdr:colOff>
      <xdr:row>8</xdr:row>
      <xdr:rowOff>6948</xdr:rowOff>
    </xdr:from>
    <xdr:to>
      <xdr:col>20</xdr:col>
      <xdr:colOff>750061</xdr:colOff>
      <xdr:row>22</xdr:row>
      <xdr:rowOff>14763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D93FBF-F633-9907-ABE3-79A8272F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1"/>
  <sheetViews>
    <sheetView tabSelected="1" zoomScale="117" workbookViewId="0">
      <pane xSplit="5" ySplit="2" topLeftCell="Q248" activePane="bottomRight" state="frozen"/>
      <selection pane="topRight" activeCell="D1" sqref="D1"/>
      <selection pane="bottomLeft" activeCell="A2" sqref="A2"/>
      <selection pane="bottomRight" activeCell="V203" sqref="V203:V271"/>
    </sheetView>
  </sheetViews>
  <sheetFormatPr baseColWidth="10" defaultRowHeight="15"/>
  <cols>
    <col min="1" max="2" width="28.83203125" customWidth="1"/>
    <col min="4" max="4" width="21.33203125" customWidth="1"/>
    <col min="5" max="5" width="42" bestFit="1" customWidth="1"/>
    <col min="22" max="22" width="11"/>
  </cols>
  <sheetData>
    <row r="1" spans="1:23">
      <c r="A1" t="s">
        <v>370</v>
      </c>
      <c r="B1" t="s">
        <v>374</v>
      </c>
      <c r="C1" t="s">
        <v>2</v>
      </c>
      <c r="E1" t="s">
        <v>3</v>
      </c>
      <c r="F1" t="s">
        <v>0</v>
      </c>
      <c r="G1" t="s">
        <v>360</v>
      </c>
      <c r="H1" t="s">
        <v>350</v>
      </c>
      <c r="I1" t="s">
        <v>1</v>
      </c>
      <c r="L1" t="s">
        <v>47</v>
      </c>
      <c r="M1" t="s">
        <v>48</v>
      </c>
      <c r="N1" t="s">
        <v>49</v>
      </c>
      <c r="O1" t="s">
        <v>50</v>
      </c>
      <c r="P1" t="s">
        <v>4</v>
      </c>
      <c r="Q1" t="s">
        <v>21</v>
      </c>
      <c r="R1" t="s">
        <v>248</v>
      </c>
      <c r="S1" t="s">
        <v>249</v>
      </c>
      <c r="V1" s="13" t="s">
        <v>364</v>
      </c>
      <c r="W1" s="12"/>
    </row>
    <row r="2" spans="1:23">
      <c r="A2" t="s">
        <v>367</v>
      </c>
      <c r="B2">
        <v>10</v>
      </c>
      <c r="C2" t="s">
        <v>5</v>
      </c>
      <c r="E2" t="s">
        <v>6</v>
      </c>
      <c r="F2">
        <v>9.7000000000000003E-3</v>
      </c>
      <c r="G2">
        <v>9.7000000000000003E-3</v>
      </c>
      <c r="I2" t="s">
        <v>252</v>
      </c>
      <c r="R2">
        <v>0.05</v>
      </c>
      <c r="S2">
        <f t="shared" ref="S2:S33" si="0">(Q2-P2)/2</f>
        <v>0</v>
      </c>
      <c r="V2" s="21">
        <f>19.8+0.61</f>
        <v>20.41</v>
      </c>
      <c r="W2" s="12"/>
    </row>
    <row r="3" spans="1:23">
      <c r="A3" t="s">
        <v>366</v>
      </c>
      <c r="B3">
        <v>10</v>
      </c>
      <c r="C3" t="s">
        <v>5</v>
      </c>
      <c r="E3" t="s">
        <v>7</v>
      </c>
      <c r="F3">
        <v>1.7999999999999999E-2</v>
      </c>
      <c r="G3">
        <v>1.7999999999999999E-2</v>
      </c>
      <c r="I3" t="s">
        <v>252</v>
      </c>
      <c r="R3">
        <v>0.3</v>
      </c>
      <c r="S3">
        <f t="shared" si="0"/>
        <v>0</v>
      </c>
      <c r="V3" s="12">
        <v>26.93</v>
      </c>
      <c r="W3" s="12"/>
    </row>
    <row r="4" spans="1:23">
      <c r="A4" t="s">
        <v>371</v>
      </c>
      <c r="B4">
        <v>1</v>
      </c>
      <c r="C4" t="s">
        <v>5</v>
      </c>
      <c r="D4" t="s">
        <v>108</v>
      </c>
      <c r="E4" t="s">
        <v>298</v>
      </c>
      <c r="F4">
        <v>8.5000000000000006E-2</v>
      </c>
      <c r="G4">
        <v>8.5000000000000006E-2</v>
      </c>
      <c r="I4" t="s">
        <v>252</v>
      </c>
      <c r="L4" t="s">
        <v>51</v>
      </c>
      <c r="M4" t="s">
        <v>52</v>
      </c>
      <c r="N4" t="s">
        <v>51</v>
      </c>
      <c r="O4" t="s">
        <v>53</v>
      </c>
      <c r="P4">
        <v>0.155</v>
      </c>
      <c r="Q4">
        <v>0.90500000000000003</v>
      </c>
      <c r="R4">
        <v>0.53</v>
      </c>
      <c r="S4">
        <f t="shared" si="0"/>
        <v>0.375</v>
      </c>
      <c r="V4" s="12">
        <v>28.130000000000003</v>
      </c>
      <c r="W4" s="12"/>
    </row>
    <row r="5" spans="1:23">
      <c r="A5" t="s">
        <v>366</v>
      </c>
      <c r="B5">
        <v>10</v>
      </c>
      <c r="C5" t="s">
        <v>5</v>
      </c>
      <c r="E5" t="s">
        <v>8</v>
      </c>
      <c r="F5">
        <v>2.1899999999999999E-2</v>
      </c>
      <c r="G5">
        <v>2.1899999999999999E-2</v>
      </c>
      <c r="I5" t="s">
        <v>252</v>
      </c>
      <c r="R5">
        <v>0.55000000000000004</v>
      </c>
      <c r="S5">
        <f t="shared" si="0"/>
        <v>0</v>
      </c>
      <c r="V5" s="12">
        <v>29.009999999999998</v>
      </c>
      <c r="W5" s="12"/>
    </row>
    <row r="6" spans="1:23">
      <c r="A6" t="s">
        <v>366</v>
      </c>
      <c r="B6">
        <v>10</v>
      </c>
      <c r="C6" t="s">
        <v>5</v>
      </c>
      <c r="E6" t="s">
        <v>9</v>
      </c>
      <c r="F6">
        <v>5.0200000000000002E-2</v>
      </c>
      <c r="G6">
        <v>5.0200000000000002E-2</v>
      </c>
      <c r="I6" t="s">
        <v>252</v>
      </c>
      <c r="R6">
        <v>0.95</v>
      </c>
      <c r="S6">
        <f t="shared" si="0"/>
        <v>0</v>
      </c>
      <c r="V6" s="12">
        <v>29.880000000000003</v>
      </c>
      <c r="W6" s="12"/>
    </row>
    <row r="7" spans="1:23">
      <c r="A7" t="s">
        <v>366</v>
      </c>
      <c r="B7">
        <v>10</v>
      </c>
      <c r="C7" t="s">
        <v>5</v>
      </c>
      <c r="E7" t="s">
        <v>10</v>
      </c>
      <c r="F7">
        <v>6.4100000000000004E-2</v>
      </c>
      <c r="G7">
        <v>6.4100000000000004E-2</v>
      </c>
      <c r="I7" t="s">
        <v>252</v>
      </c>
      <c r="R7">
        <v>1.1000000000000001</v>
      </c>
      <c r="S7">
        <f t="shared" si="0"/>
        <v>0</v>
      </c>
      <c r="V7" s="12">
        <v>31.16</v>
      </c>
      <c r="W7" s="12"/>
    </row>
    <row r="8" spans="1:23">
      <c r="A8" t="s">
        <v>366</v>
      </c>
      <c r="B8">
        <v>10</v>
      </c>
      <c r="C8" t="s">
        <v>5</v>
      </c>
      <c r="E8" t="s">
        <v>11</v>
      </c>
      <c r="F8">
        <v>9.64E-2</v>
      </c>
      <c r="G8">
        <v>9.64E-2</v>
      </c>
      <c r="I8" t="s">
        <v>252</v>
      </c>
      <c r="R8">
        <v>1.3</v>
      </c>
      <c r="S8">
        <f t="shared" si="0"/>
        <v>0</v>
      </c>
      <c r="V8" s="12">
        <v>32.879999999999995</v>
      </c>
      <c r="W8" s="12"/>
    </row>
    <row r="9" spans="1:23">
      <c r="A9" t="s">
        <v>366</v>
      </c>
      <c r="B9">
        <v>10</v>
      </c>
      <c r="C9" t="s">
        <v>5</v>
      </c>
      <c r="E9" t="s">
        <v>12</v>
      </c>
      <c r="F9">
        <v>0.1226</v>
      </c>
      <c r="G9">
        <v>0.1226</v>
      </c>
      <c r="I9" t="s">
        <v>252</v>
      </c>
      <c r="R9">
        <v>1.55</v>
      </c>
      <c r="S9">
        <f t="shared" si="0"/>
        <v>0</v>
      </c>
      <c r="V9" s="12">
        <v>33.914999999999999</v>
      </c>
      <c r="W9" s="12"/>
    </row>
    <row r="10" spans="1:23">
      <c r="A10" t="s">
        <v>366</v>
      </c>
      <c r="B10">
        <v>10</v>
      </c>
      <c r="C10" t="s">
        <v>5</v>
      </c>
      <c r="E10" t="s">
        <v>13</v>
      </c>
      <c r="F10">
        <v>0.1351</v>
      </c>
      <c r="G10">
        <v>0.1351</v>
      </c>
      <c r="I10" t="s">
        <v>252</v>
      </c>
      <c r="R10">
        <v>1.7</v>
      </c>
      <c r="S10">
        <f t="shared" si="0"/>
        <v>0</v>
      </c>
      <c r="V10" s="12">
        <v>35.379999999999995</v>
      </c>
      <c r="W10" s="12"/>
    </row>
    <row r="11" spans="1:23">
      <c r="A11" t="s">
        <v>366</v>
      </c>
      <c r="B11">
        <v>10</v>
      </c>
      <c r="C11" t="s">
        <v>5</v>
      </c>
      <c r="E11" t="s">
        <v>14</v>
      </c>
      <c r="F11">
        <v>0.17510000000000001</v>
      </c>
      <c r="G11">
        <v>0.17510000000000001</v>
      </c>
      <c r="I11" t="s">
        <v>252</v>
      </c>
      <c r="R11">
        <v>1.8</v>
      </c>
      <c r="S11">
        <f t="shared" si="0"/>
        <v>0</v>
      </c>
      <c r="V11" s="12">
        <v>36.480000000000004</v>
      </c>
      <c r="W11" s="12"/>
    </row>
    <row r="12" spans="1:23">
      <c r="A12" t="s">
        <v>366</v>
      </c>
      <c r="B12">
        <v>10</v>
      </c>
      <c r="C12" t="s">
        <v>5</v>
      </c>
      <c r="E12" t="s">
        <v>15</v>
      </c>
      <c r="F12">
        <v>0.19309999999999999</v>
      </c>
      <c r="G12">
        <v>0.19309999999999999</v>
      </c>
      <c r="I12" t="s">
        <v>252</v>
      </c>
      <c r="R12">
        <v>1.9</v>
      </c>
      <c r="S12">
        <f t="shared" si="0"/>
        <v>0</v>
      </c>
      <c r="V12" s="12">
        <v>37.71</v>
      </c>
      <c r="W12" s="12"/>
    </row>
    <row r="13" spans="1:23">
      <c r="A13" t="s">
        <v>371</v>
      </c>
      <c r="B13">
        <v>1</v>
      </c>
      <c r="C13" t="s">
        <v>5</v>
      </c>
      <c r="D13" t="s">
        <v>108</v>
      </c>
      <c r="E13" t="s">
        <v>299</v>
      </c>
      <c r="F13">
        <v>0.24</v>
      </c>
      <c r="G13">
        <v>0.24</v>
      </c>
      <c r="I13" t="s">
        <v>354</v>
      </c>
      <c r="L13" t="s">
        <v>54</v>
      </c>
      <c r="M13" t="s">
        <v>52</v>
      </c>
      <c r="N13" t="s">
        <v>54</v>
      </c>
      <c r="O13" t="s">
        <v>53</v>
      </c>
      <c r="P13">
        <v>1.655</v>
      </c>
      <c r="Q13">
        <v>2.4049999999999998</v>
      </c>
      <c r="R13">
        <v>2.0299999999999998</v>
      </c>
      <c r="S13">
        <f t="shared" si="0"/>
        <v>0.37499999999999989</v>
      </c>
      <c r="V13" s="12">
        <v>39.43</v>
      </c>
      <c r="W13" s="12"/>
    </row>
    <row r="14" spans="1:23">
      <c r="A14" t="s">
        <v>366</v>
      </c>
      <c r="B14">
        <v>10</v>
      </c>
      <c r="C14" t="s">
        <v>5</v>
      </c>
      <c r="E14" t="s">
        <v>16</v>
      </c>
      <c r="F14">
        <v>0.2155</v>
      </c>
      <c r="G14">
        <v>0.2155</v>
      </c>
      <c r="I14" t="s">
        <v>252</v>
      </c>
      <c r="R14">
        <v>2.0499999999999998</v>
      </c>
      <c r="S14">
        <f t="shared" si="0"/>
        <v>0</v>
      </c>
      <c r="V14" s="12">
        <v>40.71</v>
      </c>
      <c r="W14" s="12"/>
    </row>
    <row r="15" spans="1:23">
      <c r="A15" t="s">
        <v>366</v>
      </c>
      <c r="B15">
        <v>10</v>
      </c>
      <c r="C15" t="s">
        <v>5</v>
      </c>
      <c r="E15" t="s">
        <v>17</v>
      </c>
      <c r="F15">
        <v>0.2402</v>
      </c>
      <c r="G15">
        <v>0.2402</v>
      </c>
      <c r="I15" t="s">
        <v>252</v>
      </c>
      <c r="R15">
        <v>2.15</v>
      </c>
      <c r="S15">
        <f t="shared" si="0"/>
        <v>0</v>
      </c>
      <c r="V15" s="12">
        <v>42.57</v>
      </c>
      <c r="W15" s="12"/>
    </row>
    <row r="16" spans="1:23">
      <c r="A16" t="s">
        <v>366</v>
      </c>
      <c r="B16">
        <v>10</v>
      </c>
      <c r="C16" t="s">
        <v>5</v>
      </c>
      <c r="E16" t="s">
        <v>18</v>
      </c>
      <c r="F16">
        <v>0.26569999999999999</v>
      </c>
      <c r="G16">
        <v>0.26569999999999999</v>
      </c>
      <c r="I16" t="s">
        <v>252</v>
      </c>
      <c r="R16">
        <v>2.35</v>
      </c>
      <c r="S16">
        <f t="shared" si="0"/>
        <v>0</v>
      </c>
      <c r="V16" s="12">
        <v>43.46</v>
      </c>
      <c r="W16" s="12"/>
    </row>
    <row r="17" spans="1:23">
      <c r="A17" t="s">
        <v>366</v>
      </c>
      <c r="B17">
        <v>10</v>
      </c>
      <c r="C17" t="s">
        <v>5</v>
      </c>
      <c r="E17" t="s">
        <v>19</v>
      </c>
      <c r="F17">
        <v>0.28849999999999998</v>
      </c>
      <c r="G17">
        <v>0.28849999999999998</v>
      </c>
      <c r="I17" t="s">
        <v>252</v>
      </c>
      <c r="R17">
        <v>2.5499999999999998</v>
      </c>
      <c r="S17">
        <f t="shared" si="0"/>
        <v>0</v>
      </c>
      <c r="V17" s="12">
        <v>45.019999999999996</v>
      </c>
      <c r="W17" s="12"/>
    </row>
    <row r="18" spans="1:23">
      <c r="A18" t="s">
        <v>371</v>
      </c>
      <c r="B18">
        <v>1</v>
      </c>
      <c r="C18" t="s">
        <v>20</v>
      </c>
      <c r="D18" t="s">
        <v>301</v>
      </c>
      <c r="E18" t="s">
        <v>300</v>
      </c>
      <c r="F18">
        <v>0.78</v>
      </c>
      <c r="G18">
        <v>0.78100000000000003</v>
      </c>
      <c r="I18" s="1" t="s">
        <v>251</v>
      </c>
      <c r="J18" s="1"/>
      <c r="K18" s="1"/>
      <c r="R18">
        <v>2.58</v>
      </c>
      <c r="S18">
        <f t="shared" si="0"/>
        <v>0</v>
      </c>
      <c r="V18" s="12">
        <v>45.989999999999995</v>
      </c>
      <c r="W18" s="12"/>
    </row>
    <row r="19" spans="1:23">
      <c r="A19" t="s">
        <v>366</v>
      </c>
      <c r="B19">
        <v>10</v>
      </c>
      <c r="C19" t="s">
        <v>5</v>
      </c>
      <c r="E19" t="s">
        <v>22</v>
      </c>
      <c r="F19">
        <v>0.31</v>
      </c>
      <c r="G19">
        <v>0.31</v>
      </c>
      <c r="I19" t="s">
        <v>252</v>
      </c>
      <c r="R19">
        <v>2.8</v>
      </c>
      <c r="S19">
        <f t="shared" si="0"/>
        <v>0</v>
      </c>
      <c r="V19" s="12">
        <v>47.489999999999995</v>
      </c>
      <c r="W19" s="12"/>
    </row>
    <row r="20" spans="1:23">
      <c r="A20" t="s">
        <v>366</v>
      </c>
      <c r="B20">
        <v>10</v>
      </c>
      <c r="C20" t="s">
        <v>5</v>
      </c>
      <c r="E20" t="s">
        <v>23</v>
      </c>
      <c r="F20">
        <v>0.33100000000000002</v>
      </c>
      <c r="G20">
        <v>0.33100000000000002</v>
      </c>
      <c r="I20" t="s">
        <v>252</v>
      </c>
      <c r="R20">
        <v>3.05</v>
      </c>
      <c r="S20">
        <f t="shared" si="0"/>
        <v>0</v>
      </c>
      <c r="V20" s="12">
        <v>49</v>
      </c>
      <c r="W20" s="12"/>
    </row>
    <row r="21" spans="1:23">
      <c r="A21" t="s">
        <v>366</v>
      </c>
      <c r="B21">
        <v>10</v>
      </c>
      <c r="C21" t="s">
        <v>5</v>
      </c>
      <c r="E21" t="s">
        <v>24</v>
      </c>
      <c r="F21">
        <v>0.34100000000000003</v>
      </c>
      <c r="G21">
        <v>0.34100000000000003</v>
      </c>
      <c r="I21" t="s">
        <v>252</v>
      </c>
      <c r="R21">
        <v>3.25</v>
      </c>
      <c r="S21">
        <f t="shared" si="0"/>
        <v>0</v>
      </c>
      <c r="V21" s="12">
        <v>50.53</v>
      </c>
      <c r="W21" s="12"/>
    </row>
    <row r="22" spans="1:23">
      <c r="A22" t="s">
        <v>371</v>
      </c>
      <c r="B22">
        <v>1</v>
      </c>
      <c r="C22" t="s">
        <v>5</v>
      </c>
      <c r="D22" t="s">
        <v>103</v>
      </c>
      <c r="E22" t="s">
        <v>302</v>
      </c>
      <c r="F22">
        <v>0.42</v>
      </c>
      <c r="G22">
        <v>0.44</v>
      </c>
      <c r="I22" t="s">
        <v>354</v>
      </c>
      <c r="L22" t="s">
        <v>55</v>
      </c>
      <c r="M22" t="s">
        <v>52</v>
      </c>
      <c r="N22" t="s">
        <v>55</v>
      </c>
      <c r="O22" t="s">
        <v>53</v>
      </c>
      <c r="P22">
        <v>3.1549999999999998</v>
      </c>
      <c r="Q22">
        <v>3.9049999999999998</v>
      </c>
      <c r="R22">
        <v>3.53</v>
      </c>
      <c r="S22">
        <f t="shared" si="0"/>
        <v>0.375</v>
      </c>
      <c r="V22" s="12">
        <v>51.93</v>
      </c>
      <c r="W22" s="12"/>
    </row>
    <row r="23" spans="1:23">
      <c r="A23" t="s">
        <v>373</v>
      </c>
      <c r="B23">
        <v>1</v>
      </c>
      <c r="C23" t="s">
        <v>20</v>
      </c>
      <c r="D23" t="s">
        <v>304</v>
      </c>
      <c r="E23" t="s">
        <v>303</v>
      </c>
      <c r="F23">
        <v>0.99</v>
      </c>
      <c r="G23">
        <v>0.98799999999999999</v>
      </c>
      <c r="I23" s="1" t="s">
        <v>251</v>
      </c>
      <c r="J23" s="1"/>
      <c r="K23" s="1"/>
      <c r="R23">
        <v>4.2</v>
      </c>
      <c r="S23">
        <f t="shared" si="0"/>
        <v>0</v>
      </c>
      <c r="V23" s="12">
        <f>54.8+1.255</f>
        <v>56.055</v>
      </c>
      <c r="W23" s="12"/>
    </row>
    <row r="24" spans="1:23">
      <c r="A24" t="s">
        <v>366</v>
      </c>
      <c r="B24">
        <v>10</v>
      </c>
      <c r="C24" t="s">
        <v>5</v>
      </c>
      <c r="E24" t="s">
        <v>25</v>
      </c>
      <c r="F24">
        <v>0.40500000000000003</v>
      </c>
      <c r="G24">
        <v>0.40500000000000003</v>
      </c>
      <c r="I24" s="1" t="s">
        <v>252</v>
      </c>
      <c r="J24" s="1"/>
      <c r="K24" s="1"/>
      <c r="R24">
        <v>4.25</v>
      </c>
      <c r="S24">
        <f t="shared" si="0"/>
        <v>0</v>
      </c>
      <c r="V24" s="12">
        <f>57.8+1.18</f>
        <v>58.98</v>
      </c>
      <c r="W24" s="12"/>
    </row>
    <row r="25" spans="1:23">
      <c r="A25" t="s">
        <v>366</v>
      </c>
      <c r="B25">
        <v>10</v>
      </c>
      <c r="C25" t="s">
        <v>5</v>
      </c>
      <c r="E25" t="s">
        <v>26</v>
      </c>
      <c r="F25">
        <v>0.434</v>
      </c>
      <c r="G25">
        <v>0.434</v>
      </c>
      <c r="I25" s="1" t="s">
        <v>252</v>
      </c>
      <c r="J25" s="1"/>
      <c r="K25" s="1"/>
      <c r="R25">
        <v>4.9000000000000004</v>
      </c>
      <c r="S25">
        <f t="shared" si="0"/>
        <v>0</v>
      </c>
      <c r="V25" s="12">
        <f>60.8+0.61</f>
        <v>61.41</v>
      </c>
      <c r="W25" s="12"/>
    </row>
    <row r="26" spans="1:23">
      <c r="A26" t="s">
        <v>366</v>
      </c>
      <c r="B26">
        <v>10</v>
      </c>
      <c r="C26" t="s">
        <v>5</v>
      </c>
      <c r="E26" t="s">
        <v>27</v>
      </c>
      <c r="F26">
        <v>0.47099999999999997</v>
      </c>
      <c r="G26">
        <v>0.47099999999999997</v>
      </c>
      <c r="I26" s="1" t="s">
        <v>252</v>
      </c>
      <c r="J26" s="1"/>
      <c r="K26" s="1"/>
      <c r="R26">
        <v>5.35</v>
      </c>
      <c r="S26">
        <f t="shared" si="0"/>
        <v>0</v>
      </c>
      <c r="V26" s="12">
        <f>63.8+0.41</f>
        <v>64.209999999999994</v>
      </c>
      <c r="W26" s="12"/>
    </row>
    <row r="27" spans="1:23">
      <c r="A27" t="s">
        <v>373</v>
      </c>
      <c r="B27">
        <v>1</v>
      </c>
      <c r="C27" t="s">
        <v>20</v>
      </c>
      <c r="D27" t="s">
        <v>301</v>
      </c>
      <c r="E27" t="s">
        <v>303</v>
      </c>
      <c r="F27">
        <v>1.07</v>
      </c>
      <c r="G27">
        <v>1.0720000000000001</v>
      </c>
      <c r="I27" s="1" t="s">
        <v>251</v>
      </c>
      <c r="J27" s="1"/>
      <c r="K27" s="1"/>
      <c r="R27">
        <v>5.8</v>
      </c>
      <c r="S27">
        <f t="shared" si="0"/>
        <v>0</v>
      </c>
      <c r="V27" s="12">
        <f>64.3+0.92</f>
        <v>65.22</v>
      </c>
      <c r="W27" s="12"/>
    </row>
    <row r="28" spans="1:23">
      <c r="A28" t="s">
        <v>366</v>
      </c>
      <c r="B28">
        <v>10</v>
      </c>
      <c r="C28" t="s">
        <v>5</v>
      </c>
      <c r="E28" t="s">
        <v>28</v>
      </c>
      <c r="F28">
        <v>0.51200000000000001</v>
      </c>
      <c r="G28">
        <v>0.51200000000000001</v>
      </c>
      <c r="I28" s="1" t="s">
        <v>252</v>
      </c>
      <c r="J28" s="1"/>
      <c r="K28" s="1"/>
      <c r="R28">
        <v>5.95</v>
      </c>
      <c r="S28">
        <f t="shared" si="0"/>
        <v>0</v>
      </c>
      <c r="V28" s="12">
        <f>67.3+0.89</f>
        <v>68.19</v>
      </c>
      <c r="W28" s="12"/>
    </row>
    <row r="29" spans="1:23">
      <c r="A29" t="s">
        <v>366</v>
      </c>
      <c r="B29">
        <v>10</v>
      </c>
      <c r="C29" t="s">
        <v>5</v>
      </c>
      <c r="E29" t="s">
        <v>29</v>
      </c>
      <c r="F29">
        <v>0.625</v>
      </c>
      <c r="G29">
        <v>0.625</v>
      </c>
      <c r="I29" s="1" t="s">
        <v>252</v>
      </c>
      <c r="J29" s="1"/>
      <c r="K29" s="1"/>
      <c r="R29">
        <v>6.9</v>
      </c>
      <c r="S29">
        <f t="shared" si="0"/>
        <v>0</v>
      </c>
      <c r="V29" s="12">
        <f>68.8+0.61</f>
        <v>69.41</v>
      </c>
      <c r="W29" s="12"/>
    </row>
    <row r="30" spans="1:23">
      <c r="A30" t="s">
        <v>366</v>
      </c>
      <c r="B30">
        <v>10</v>
      </c>
      <c r="C30" t="s">
        <v>5</v>
      </c>
      <c r="E30" t="s">
        <v>30</v>
      </c>
      <c r="F30">
        <v>0.72199999999999998</v>
      </c>
      <c r="G30">
        <v>0.72199999999999998</v>
      </c>
      <c r="I30" s="1" t="s">
        <v>252</v>
      </c>
      <c r="J30" s="1"/>
      <c r="K30" s="1"/>
      <c r="R30">
        <v>8</v>
      </c>
      <c r="S30">
        <f t="shared" si="0"/>
        <v>0</v>
      </c>
      <c r="V30" s="12">
        <f>70.3+0.88</f>
        <v>71.179999999999993</v>
      </c>
      <c r="W30" s="12"/>
    </row>
    <row r="31" spans="1:23">
      <c r="A31" t="s">
        <v>371</v>
      </c>
      <c r="B31">
        <v>1</v>
      </c>
      <c r="C31" t="s">
        <v>5</v>
      </c>
      <c r="D31" t="s">
        <v>103</v>
      </c>
      <c r="E31" t="s">
        <v>305</v>
      </c>
      <c r="F31">
        <v>0.83</v>
      </c>
      <c r="G31">
        <f>AVERAGE(0.44, 1.93)</f>
        <v>1.1850000000000001</v>
      </c>
      <c r="H31">
        <f>G31-0.44</f>
        <v>0.74500000000000011</v>
      </c>
      <c r="I31" s="1" t="s">
        <v>354</v>
      </c>
      <c r="J31" s="1"/>
      <c r="K31" s="1"/>
      <c r="L31" t="s">
        <v>56</v>
      </c>
      <c r="M31" t="s">
        <v>53</v>
      </c>
      <c r="N31" t="s">
        <v>57</v>
      </c>
      <c r="O31" t="s">
        <v>59</v>
      </c>
      <c r="P31">
        <v>8.1999999999999993</v>
      </c>
      <c r="Q31">
        <v>8.9499999999999993</v>
      </c>
      <c r="R31">
        <v>8.5749999999999993</v>
      </c>
      <c r="S31">
        <f t="shared" si="0"/>
        <v>0.375</v>
      </c>
      <c r="V31" s="12">
        <f>71.8+0.17</f>
        <v>71.97</v>
      </c>
      <c r="W31" s="12"/>
    </row>
    <row r="32" spans="1:23">
      <c r="A32" t="s">
        <v>366</v>
      </c>
      <c r="B32">
        <v>10</v>
      </c>
      <c r="C32" t="s">
        <v>5</v>
      </c>
      <c r="E32" t="s">
        <v>31</v>
      </c>
      <c r="F32">
        <v>0.79600000000000004</v>
      </c>
      <c r="G32">
        <v>0.79600000000000004</v>
      </c>
      <c r="I32" s="1" t="s">
        <v>252</v>
      </c>
      <c r="J32" s="1"/>
      <c r="K32" s="1"/>
      <c r="R32">
        <v>8.8000000000000007</v>
      </c>
      <c r="S32">
        <f t="shared" si="0"/>
        <v>0</v>
      </c>
      <c r="V32" s="22">
        <f>72.8+0.17</f>
        <v>72.97</v>
      </c>
      <c r="W32" s="12"/>
    </row>
    <row r="33" spans="1:23">
      <c r="A33" t="s">
        <v>366</v>
      </c>
      <c r="B33">
        <v>10</v>
      </c>
      <c r="C33" t="s">
        <v>5</v>
      </c>
      <c r="E33" t="s">
        <v>32</v>
      </c>
      <c r="F33">
        <v>0.872</v>
      </c>
      <c r="G33">
        <v>0.872</v>
      </c>
      <c r="I33" s="1" t="s">
        <v>252</v>
      </c>
      <c r="J33" s="1"/>
      <c r="K33" s="1"/>
      <c r="R33">
        <v>9.65</v>
      </c>
      <c r="S33">
        <f t="shared" si="0"/>
        <v>0</v>
      </c>
      <c r="V33" s="22">
        <f>73.8+0.645</f>
        <v>74.444999999999993</v>
      </c>
      <c r="W33" s="12"/>
    </row>
    <row r="34" spans="1:23">
      <c r="A34" t="s">
        <v>373</v>
      </c>
      <c r="B34">
        <v>1</v>
      </c>
      <c r="C34" t="s">
        <v>20</v>
      </c>
      <c r="D34" t="s">
        <v>304</v>
      </c>
      <c r="E34" t="s">
        <v>306</v>
      </c>
      <c r="F34">
        <v>1.77</v>
      </c>
      <c r="G34">
        <v>1.778</v>
      </c>
      <c r="I34" s="1" t="s">
        <v>251</v>
      </c>
      <c r="J34" s="1"/>
      <c r="K34" s="1"/>
      <c r="R34">
        <v>10</v>
      </c>
      <c r="S34">
        <f t="shared" ref="S34:S65" si="1">(Q34-P34)/2</f>
        <v>0</v>
      </c>
      <c r="V34" s="22">
        <f>75.3+0.66</f>
        <v>75.959999999999994</v>
      </c>
      <c r="W34" s="12"/>
    </row>
    <row r="35" spans="1:23">
      <c r="A35" t="s">
        <v>366</v>
      </c>
      <c r="B35">
        <v>10</v>
      </c>
      <c r="C35" s="1" t="s">
        <v>5</v>
      </c>
      <c r="D35" s="1"/>
      <c r="E35" t="s">
        <v>33</v>
      </c>
      <c r="F35">
        <v>0.92</v>
      </c>
      <c r="G35">
        <v>0.92</v>
      </c>
      <c r="I35" s="1" t="s">
        <v>252</v>
      </c>
      <c r="J35" s="1"/>
      <c r="K35" s="1"/>
      <c r="R35">
        <v>10.15</v>
      </c>
      <c r="S35">
        <f t="shared" si="1"/>
        <v>0</v>
      </c>
      <c r="V35" s="12">
        <f>76.8+0.61</f>
        <v>77.41</v>
      </c>
      <c r="W35" s="12"/>
    </row>
    <row r="36" spans="1:23" ht="16">
      <c r="A36" t="s">
        <v>371</v>
      </c>
      <c r="B36">
        <v>1</v>
      </c>
      <c r="C36" s="1" t="s">
        <v>5</v>
      </c>
      <c r="D36" s="1" t="s">
        <v>108</v>
      </c>
      <c r="E36" t="s">
        <v>305</v>
      </c>
      <c r="F36">
        <v>1.1599999999999999</v>
      </c>
      <c r="G36">
        <f>AVERAGE(0.44, 1.93)</f>
        <v>1.1850000000000001</v>
      </c>
      <c r="H36">
        <f>G36-0.44</f>
        <v>0.74500000000000011</v>
      </c>
      <c r="I36" s="1" t="s">
        <v>354</v>
      </c>
      <c r="J36" s="1"/>
      <c r="K36" s="1"/>
      <c r="L36" s="1" t="s">
        <v>60</v>
      </c>
      <c r="M36" s="1" t="s">
        <v>58</v>
      </c>
      <c r="N36" s="1" t="s">
        <v>60</v>
      </c>
      <c r="O36" s="1" t="s">
        <v>61</v>
      </c>
      <c r="P36">
        <v>10.455</v>
      </c>
      <c r="Q36">
        <v>11.205</v>
      </c>
      <c r="R36">
        <v>10.83</v>
      </c>
      <c r="S36">
        <f t="shared" si="1"/>
        <v>0.375</v>
      </c>
      <c r="V36" s="23">
        <f>78.3+0.41</f>
        <v>78.709999999999994</v>
      </c>
      <c r="W36" s="12"/>
    </row>
    <row r="37" spans="1:23">
      <c r="A37" t="s">
        <v>371</v>
      </c>
      <c r="B37">
        <v>1</v>
      </c>
      <c r="C37" s="1" t="s">
        <v>5</v>
      </c>
      <c r="D37" s="1" t="s">
        <v>103</v>
      </c>
      <c r="E37" t="s">
        <v>307</v>
      </c>
      <c r="F37">
        <v>1.26</v>
      </c>
      <c r="G37">
        <f>AVERAGE(0.44, 1.93)</f>
        <v>1.1850000000000001</v>
      </c>
      <c r="H37">
        <f>G37-0.44</f>
        <v>0.74500000000000011</v>
      </c>
      <c r="I37" s="1" t="s">
        <v>354</v>
      </c>
      <c r="J37" s="1"/>
      <c r="K37" s="1"/>
      <c r="L37" t="s">
        <v>60</v>
      </c>
      <c r="M37" t="s">
        <v>58</v>
      </c>
      <c r="N37" t="s">
        <v>60</v>
      </c>
      <c r="O37" t="s">
        <v>61</v>
      </c>
      <c r="P37">
        <v>10.455</v>
      </c>
      <c r="Q37">
        <v>11.205</v>
      </c>
      <c r="R37">
        <v>10.83</v>
      </c>
      <c r="S37">
        <f t="shared" si="1"/>
        <v>0.375</v>
      </c>
      <c r="V37" s="12">
        <f>79.8+0.97</f>
        <v>80.77</v>
      </c>
      <c r="W37" s="12"/>
    </row>
    <row r="38" spans="1:23">
      <c r="A38" t="s">
        <v>371</v>
      </c>
      <c r="B38">
        <v>1</v>
      </c>
      <c r="C38" s="1" t="s">
        <v>5</v>
      </c>
      <c r="D38" s="1" t="s">
        <v>103</v>
      </c>
      <c r="E38" t="s">
        <v>308</v>
      </c>
      <c r="F38">
        <v>1.59</v>
      </c>
      <c r="G38">
        <v>1.7</v>
      </c>
      <c r="I38" s="1" t="s">
        <v>354</v>
      </c>
      <c r="J38" s="1"/>
      <c r="K38" s="1"/>
      <c r="L38" s="1" t="s">
        <v>60</v>
      </c>
      <c r="M38" t="s">
        <v>58</v>
      </c>
      <c r="N38" s="1" t="s">
        <v>60</v>
      </c>
      <c r="O38" s="1" t="s">
        <v>61</v>
      </c>
      <c r="P38">
        <v>10.455</v>
      </c>
      <c r="Q38">
        <v>11.205</v>
      </c>
      <c r="R38">
        <v>10.83</v>
      </c>
      <c r="S38">
        <f t="shared" si="1"/>
        <v>0.375</v>
      </c>
      <c r="V38" s="12">
        <f>81.3+1.175</f>
        <v>82.474999999999994</v>
      </c>
      <c r="W38" s="12"/>
    </row>
    <row r="39" spans="1:23">
      <c r="A39" t="s">
        <v>373</v>
      </c>
      <c r="B39">
        <v>1</v>
      </c>
      <c r="C39" t="s">
        <v>20</v>
      </c>
      <c r="D39" t="s">
        <v>301</v>
      </c>
      <c r="E39" t="s">
        <v>306</v>
      </c>
      <c r="F39">
        <v>1.95</v>
      </c>
      <c r="G39">
        <v>1.9450000000000001</v>
      </c>
      <c r="I39" s="1" t="s">
        <v>251</v>
      </c>
      <c r="J39" s="1"/>
      <c r="K39" s="1"/>
      <c r="R39">
        <v>12.2</v>
      </c>
      <c r="S39">
        <f t="shared" si="1"/>
        <v>0</v>
      </c>
      <c r="V39" s="12">
        <v>85.46</v>
      </c>
      <c r="W39" s="12"/>
    </row>
    <row r="40" spans="1:23">
      <c r="A40" t="s">
        <v>371</v>
      </c>
      <c r="B40">
        <v>1</v>
      </c>
      <c r="C40" s="1" t="s">
        <v>5</v>
      </c>
      <c r="D40" s="1" t="s">
        <v>108</v>
      </c>
      <c r="E40" t="s">
        <v>309</v>
      </c>
      <c r="F40">
        <v>1.65</v>
      </c>
      <c r="G40">
        <f>AVERAGE(0.44, 1.93)</f>
        <v>1.1850000000000001</v>
      </c>
      <c r="H40">
        <f>G40-0.44</f>
        <v>0.74500000000000011</v>
      </c>
      <c r="I40" t="s">
        <v>354</v>
      </c>
      <c r="L40" t="s">
        <v>63</v>
      </c>
      <c r="M40" s="1" t="s">
        <v>58</v>
      </c>
      <c r="N40" t="s">
        <v>63</v>
      </c>
      <c r="O40" s="1" t="s">
        <v>61</v>
      </c>
      <c r="P40">
        <v>13.455</v>
      </c>
      <c r="Q40">
        <v>14.205</v>
      </c>
      <c r="R40">
        <v>13.8</v>
      </c>
      <c r="S40">
        <f t="shared" si="1"/>
        <v>0.375</v>
      </c>
      <c r="V40" s="12">
        <f>87.8+0.65</f>
        <v>88.45</v>
      </c>
      <c r="W40" s="12"/>
    </row>
    <row r="41" spans="1:23">
      <c r="A41" t="s">
        <v>372</v>
      </c>
      <c r="B41">
        <v>1</v>
      </c>
      <c r="C41" s="1" t="s">
        <v>5</v>
      </c>
      <c r="D41" s="1" t="s">
        <v>108</v>
      </c>
      <c r="E41" t="s">
        <v>310</v>
      </c>
      <c r="F41">
        <v>2</v>
      </c>
      <c r="G41">
        <f>2.39-(0.9*(2.39-1.88))</f>
        <v>1.9309999999999998</v>
      </c>
      <c r="I41" t="s">
        <v>357</v>
      </c>
      <c r="L41" t="s">
        <v>60</v>
      </c>
      <c r="M41" t="s">
        <v>62</v>
      </c>
      <c r="N41" t="s">
        <v>34</v>
      </c>
      <c r="P41">
        <v>11.105</v>
      </c>
      <c r="Q41">
        <v>16.965</v>
      </c>
      <c r="R41">
        <v>14.035</v>
      </c>
      <c r="S41">
        <f t="shared" si="1"/>
        <v>2.9299999999999997</v>
      </c>
      <c r="V41" s="12">
        <f>89.3+0.64</f>
        <v>89.94</v>
      </c>
      <c r="W41" s="12"/>
    </row>
    <row r="42" spans="1:23">
      <c r="A42" t="s">
        <v>373</v>
      </c>
      <c r="B42">
        <v>1</v>
      </c>
      <c r="C42" t="s">
        <v>20</v>
      </c>
      <c r="D42" t="s">
        <v>304</v>
      </c>
      <c r="E42" t="s">
        <v>311</v>
      </c>
      <c r="F42">
        <v>2.14</v>
      </c>
      <c r="G42">
        <v>2.1480000000000001</v>
      </c>
      <c r="I42" s="1" t="s">
        <v>251</v>
      </c>
      <c r="J42" s="1"/>
      <c r="K42" s="1"/>
      <c r="R42">
        <v>14.3</v>
      </c>
      <c r="S42">
        <f t="shared" si="1"/>
        <v>0</v>
      </c>
      <c r="V42" s="12">
        <f>92.3+0.61</f>
        <v>92.91</v>
      </c>
      <c r="W42" s="12"/>
    </row>
    <row r="43" spans="1:23">
      <c r="A43" t="s">
        <v>371</v>
      </c>
      <c r="B43">
        <v>1</v>
      </c>
      <c r="C43" s="1" t="s">
        <v>5</v>
      </c>
      <c r="D43" s="1" t="s">
        <v>108</v>
      </c>
      <c r="E43" t="s">
        <v>312</v>
      </c>
      <c r="F43">
        <v>1.72</v>
      </c>
      <c r="G43" s="2">
        <f>AVERAGE(1.93, 0.44)</f>
        <v>1.1850000000000001</v>
      </c>
      <c r="H43" s="2">
        <f>G43-0.44</f>
        <v>0.74500000000000011</v>
      </c>
      <c r="I43" s="1" t="s">
        <v>354</v>
      </c>
      <c r="J43" s="1"/>
      <c r="K43" s="1"/>
      <c r="L43" t="s">
        <v>63</v>
      </c>
      <c r="M43" s="1" t="s">
        <v>61</v>
      </c>
      <c r="N43" t="s">
        <v>64</v>
      </c>
      <c r="O43" s="1" t="s">
        <v>58</v>
      </c>
      <c r="P43">
        <v>14.205</v>
      </c>
      <c r="Q43">
        <v>15.705</v>
      </c>
      <c r="R43">
        <v>14.955</v>
      </c>
      <c r="S43">
        <f t="shared" si="1"/>
        <v>0.75</v>
      </c>
      <c r="V43" s="12">
        <f>94.3+0.31</f>
        <v>94.61</v>
      </c>
      <c r="W43" s="12"/>
    </row>
    <row r="44" spans="1:23">
      <c r="A44" t="s">
        <v>373</v>
      </c>
      <c r="B44">
        <v>1</v>
      </c>
      <c r="C44" t="s">
        <v>20</v>
      </c>
      <c r="D44" t="s">
        <v>301</v>
      </c>
      <c r="E44" t="s">
        <v>313</v>
      </c>
      <c r="F44">
        <v>2.15</v>
      </c>
      <c r="G44" s="2">
        <v>2.15</v>
      </c>
      <c r="H44" s="2"/>
      <c r="I44" s="1" t="s">
        <v>251</v>
      </c>
      <c r="J44" s="1"/>
      <c r="K44" s="1"/>
      <c r="R44">
        <v>15.9</v>
      </c>
      <c r="S44">
        <f t="shared" si="1"/>
        <v>0</v>
      </c>
      <c r="V44" s="12">
        <f>97.3+0.61</f>
        <v>97.91</v>
      </c>
      <c r="W44" s="12"/>
    </row>
    <row r="45" spans="1:23" s="9" customFormat="1">
      <c r="A45" t="s">
        <v>373</v>
      </c>
      <c r="B45">
        <v>1</v>
      </c>
      <c r="C45" s="9" t="s">
        <v>20</v>
      </c>
      <c r="D45" s="9" t="s">
        <v>304</v>
      </c>
      <c r="E45" s="9" t="s">
        <v>314</v>
      </c>
      <c r="F45" s="9">
        <v>2.581</v>
      </c>
      <c r="G45" s="10">
        <v>2.581</v>
      </c>
      <c r="H45" s="10"/>
      <c r="I45" s="11" t="s">
        <v>251</v>
      </c>
      <c r="J45" s="11"/>
      <c r="K45" s="11"/>
      <c r="R45" s="9">
        <v>18.5</v>
      </c>
      <c r="S45" s="9">
        <f t="shared" si="1"/>
        <v>0</v>
      </c>
      <c r="V45" s="12">
        <f>98.8+0.645</f>
        <v>99.444999999999993</v>
      </c>
      <c r="W45" s="12"/>
    </row>
    <row r="46" spans="1:23">
      <c r="A46" t="s">
        <v>371</v>
      </c>
      <c r="B46">
        <v>1</v>
      </c>
      <c r="C46" s="1" t="s">
        <v>5</v>
      </c>
      <c r="D46" s="1" t="s">
        <v>103</v>
      </c>
      <c r="E46" t="s">
        <v>315</v>
      </c>
      <c r="F46">
        <v>2.5099999999999998</v>
      </c>
      <c r="G46" s="2">
        <v>2.4900000000000002</v>
      </c>
      <c r="H46" s="2"/>
      <c r="I46" s="1" t="s">
        <v>354</v>
      </c>
      <c r="J46" s="1"/>
      <c r="K46" s="1"/>
      <c r="L46" t="s">
        <v>65</v>
      </c>
      <c r="M46" t="s">
        <v>58</v>
      </c>
      <c r="N46" t="s">
        <v>65</v>
      </c>
      <c r="P46">
        <v>19.954999999999998</v>
      </c>
      <c r="Q46">
        <v>19.954999999999998</v>
      </c>
      <c r="R46">
        <v>20.329999999999998</v>
      </c>
      <c r="S46">
        <f t="shared" si="1"/>
        <v>0</v>
      </c>
      <c r="V46" s="12">
        <f>100.3+0.31</f>
        <v>100.61</v>
      </c>
      <c r="W46" s="12"/>
    </row>
    <row r="47" spans="1:23">
      <c r="A47" t="s">
        <v>373</v>
      </c>
      <c r="B47">
        <v>1</v>
      </c>
      <c r="C47" t="s">
        <v>20</v>
      </c>
      <c r="D47" t="s">
        <v>301</v>
      </c>
      <c r="E47" t="s">
        <v>314</v>
      </c>
      <c r="F47">
        <v>3.04</v>
      </c>
      <c r="G47">
        <v>3.032</v>
      </c>
      <c r="I47" s="1" t="s">
        <v>251</v>
      </c>
      <c r="J47" s="1"/>
      <c r="K47" s="1"/>
      <c r="R47">
        <v>24.2</v>
      </c>
      <c r="S47">
        <f t="shared" si="1"/>
        <v>0</v>
      </c>
      <c r="V47" s="12">
        <f>103.8+0.31</f>
        <v>104.11</v>
      </c>
      <c r="W47" s="12"/>
    </row>
    <row r="48" spans="1:23" s="6" customFormat="1">
      <c r="A48" s="6" t="s">
        <v>368</v>
      </c>
      <c r="B48">
        <v>1</v>
      </c>
      <c r="C48" s="7" t="s">
        <v>5</v>
      </c>
      <c r="D48" s="7" t="s">
        <v>103</v>
      </c>
      <c r="E48" s="6" t="s">
        <v>283</v>
      </c>
      <c r="F48" s="6">
        <v>2.5</v>
      </c>
      <c r="G48" s="6">
        <v>2.2999999999999998</v>
      </c>
      <c r="I48" s="7" t="s">
        <v>362</v>
      </c>
      <c r="J48" s="7"/>
      <c r="K48" s="7"/>
      <c r="L48" s="6" t="s">
        <v>35</v>
      </c>
      <c r="N48" s="6" t="s">
        <v>66</v>
      </c>
      <c r="O48" s="6" t="s">
        <v>67</v>
      </c>
      <c r="P48" s="6">
        <v>26.58</v>
      </c>
      <c r="Q48" s="6">
        <v>29.86</v>
      </c>
      <c r="R48" s="6">
        <v>28.22</v>
      </c>
      <c r="S48" s="6">
        <f t="shared" si="1"/>
        <v>1.6400000000000006</v>
      </c>
      <c r="V48" s="12">
        <f>105.3+0.31</f>
        <v>105.61</v>
      </c>
      <c r="W48" s="12"/>
    </row>
    <row r="49" spans="1:23" s="6" customFormat="1">
      <c r="A49" t="s">
        <v>372</v>
      </c>
      <c r="B49">
        <v>1</v>
      </c>
      <c r="C49" s="7" t="s">
        <v>5</v>
      </c>
      <c r="D49" s="7" t="s">
        <v>108</v>
      </c>
      <c r="E49" s="6" t="s">
        <v>316</v>
      </c>
      <c r="F49" s="6">
        <v>3.2</v>
      </c>
      <c r="G49" s="6">
        <f>AVERAGE(3.13, 2.39)</f>
        <v>2.76</v>
      </c>
      <c r="H49" s="6">
        <f>G49-2.39</f>
        <v>0.36999999999999966</v>
      </c>
      <c r="I49" s="7" t="s">
        <v>357</v>
      </c>
      <c r="J49" s="7"/>
      <c r="K49" s="7"/>
      <c r="L49" s="6" t="s">
        <v>68</v>
      </c>
      <c r="M49" s="6" t="s">
        <v>69</v>
      </c>
      <c r="N49" s="6" t="s">
        <v>66</v>
      </c>
      <c r="O49" s="6" t="s">
        <v>69</v>
      </c>
      <c r="P49" s="6">
        <v>27.11</v>
      </c>
      <c r="Q49" s="6">
        <v>30.06</v>
      </c>
      <c r="R49" s="6">
        <v>28.585000000000001</v>
      </c>
      <c r="S49" s="6">
        <f t="shared" si="1"/>
        <v>1.4749999999999996</v>
      </c>
      <c r="V49" s="12">
        <f>106.8+0.61</f>
        <v>107.41</v>
      </c>
      <c r="W49" s="12"/>
    </row>
    <row r="50" spans="1:23">
      <c r="A50" t="s">
        <v>373</v>
      </c>
      <c r="B50">
        <v>1</v>
      </c>
      <c r="C50" t="s">
        <v>20</v>
      </c>
      <c r="D50" t="s">
        <v>304</v>
      </c>
      <c r="E50" t="s">
        <v>317</v>
      </c>
      <c r="F50">
        <v>3.11</v>
      </c>
      <c r="G50">
        <v>3.1160000000000001</v>
      </c>
      <c r="I50" s="1" t="s">
        <v>251</v>
      </c>
      <c r="J50" s="1"/>
      <c r="K50" s="1"/>
      <c r="R50">
        <v>29.6</v>
      </c>
      <c r="S50">
        <f t="shared" si="1"/>
        <v>0</v>
      </c>
      <c r="V50" s="12">
        <v>108.88</v>
      </c>
      <c r="W50" s="12"/>
    </row>
    <row r="51" spans="1:23">
      <c r="A51" t="s">
        <v>373</v>
      </c>
      <c r="B51">
        <v>1</v>
      </c>
      <c r="C51" t="s">
        <v>20</v>
      </c>
      <c r="D51" t="s">
        <v>301</v>
      </c>
      <c r="E51" t="s">
        <v>317</v>
      </c>
      <c r="F51">
        <v>3.11</v>
      </c>
      <c r="G51">
        <v>3.2069999999999999</v>
      </c>
      <c r="I51" s="1" t="s">
        <v>251</v>
      </c>
      <c r="J51" s="1"/>
      <c r="K51" s="1"/>
      <c r="R51">
        <v>31.1</v>
      </c>
      <c r="S51">
        <f t="shared" si="1"/>
        <v>0</v>
      </c>
      <c r="V51" s="12">
        <f>111.3+0.33</f>
        <v>111.63</v>
      </c>
      <c r="W51" s="12"/>
    </row>
    <row r="52" spans="1:23">
      <c r="A52" t="s">
        <v>373</v>
      </c>
      <c r="B52">
        <v>1</v>
      </c>
      <c r="C52" t="s">
        <v>20</v>
      </c>
      <c r="D52" t="s">
        <v>304</v>
      </c>
      <c r="E52" t="s">
        <v>318</v>
      </c>
      <c r="F52">
        <v>3.33</v>
      </c>
      <c r="G52">
        <v>3.33</v>
      </c>
      <c r="I52" s="1" t="s">
        <v>251</v>
      </c>
      <c r="J52" s="1"/>
      <c r="K52" s="1"/>
      <c r="R52">
        <v>33.6</v>
      </c>
      <c r="S52">
        <f t="shared" si="1"/>
        <v>0</v>
      </c>
      <c r="V52" s="12">
        <f>111.8+0.61</f>
        <v>112.41</v>
      </c>
      <c r="W52" s="12"/>
    </row>
    <row r="53" spans="1:23">
      <c r="A53" t="s">
        <v>373</v>
      </c>
      <c r="B53">
        <v>1</v>
      </c>
      <c r="C53" t="s">
        <v>20</v>
      </c>
      <c r="D53" t="s">
        <v>301</v>
      </c>
      <c r="E53" t="s">
        <v>318</v>
      </c>
      <c r="F53">
        <v>3.58</v>
      </c>
      <c r="G53">
        <v>3.5960000000000001</v>
      </c>
      <c r="I53" s="1" t="s">
        <v>251</v>
      </c>
      <c r="J53" s="1"/>
      <c r="K53" s="1"/>
      <c r="R53">
        <v>42.7</v>
      </c>
      <c r="S53">
        <f t="shared" si="1"/>
        <v>0</v>
      </c>
      <c r="V53" s="12">
        <f>113.3+0.28</f>
        <v>113.58</v>
      </c>
      <c r="W53" s="12"/>
    </row>
    <row r="54" spans="1:23">
      <c r="A54" t="s">
        <v>371</v>
      </c>
      <c r="B54">
        <v>1</v>
      </c>
      <c r="C54" s="1" t="s">
        <v>5</v>
      </c>
      <c r="D54" s="1" t="s">
        <v>103</v>
      </c>
      <c r="E54" t="s">
        <v>319</v>
      </c>
      <c r="F54">
        <v>3.65</v>
      </c>
      <c r="G54" s="2">
        <v>3.7</v>
      </c>
      <c r="H54" s="2"/>
      <c r="I54" s="1" t="s">
        <v>354</v>
      </c>
      <c r="J54" s="1"/>
      <c r="K54" s="1"/>
      <c r="L54" t="s">
        <v>72</v>
      </c>
      <c r="M54" t="s">
        <v>58</v>
      </c>
      <c r="N54" t="s">
        <v>72</v>
      </c>
      <c r="O54" t="s">
        <v>61</v>
      </c>
      <c r="P54">
        <v>46.954999999999998</v>
      </c>
      <c r="Q54">
        <v>47.704999999999998</v>
      </c>
      <c r="R54">
        <v>47.33</v>
      </c>
      <c r="S54">
        <f t="shared" si="1"/>
        <v>0.375</v>
      </c>
      <c r="V54" s="12">
        <f>114.8+0.29</f>
        <v>115.09</v>
      </c>
      <c r="W54" s="12"/>
    </row>
    <row r="55" spans="1:23">
      <c r="A55" t="s">
        <v>372</v>
      </c>
      <c r="B55">
        <v>1</v>
      </c>
      <c r="C55" s="1" t="s">
        <v>5</v>
      </c>
      <c r="D55" s="1" t="s">
        <v>103</v>
      </c>
      <c r="E55" t="s">
        <v>320</v>
      </c>
      <c r="F55">
        <v>4.5999999999999996</v>
      </c>
      <c r="G55">
        <v>4.37</v>
      </c>
      <c r="I55" s="1" t="s">
        <v>357</v>
      </c>
      <c r="J55" s="1"/>
      <c r="K55" s="1"/>
      <c r="L55" t="s">
        <v>70</v>
      </c>
      <c r="M55" t="s">
        <v>45</v>
      </c>
      <c r="N55" t="s">
        <v>71</v>
      </c>
      <c r="O55" t="s">
        <v>45</v>
      </c>
      <c r="P55">
        <v>46.12</v>
      </c>
      <c r="Q55">
        <v>49.12</v>
      </c>
      <c r="R55">
        <v>47.62</v>
      </c>
      <c r="S55">
        <f t="shared" si="1"/>
        <v>1.5</v>
      </c>
      <c r="V55" s="12">
        <f>118.5+0.28</f>
        <v>118.78</v>
      </c>
      <c r="W55" s="12"/>
    </row>
    <row r="56" spans="1:23">
      <c r="A56" t="s">
        <v>373</v>
      </c>
      <c r="B56">
        <v>1</v>
      </c>
      <c r="C56" t="s">
        <v>20</v>
      </c>
      <c r="D56" t="s">
        <v>304</v>
      </c>
      <c r="E56" t="s">
        <v>321</v>
      </c>
      <c r="F56">
        <v>4.18</v>
      </c>
      <c r="G56">
        <v>4.1870000000000003</v>
      </c>
      <c r="I56" s="1" t="s">
        <v>251</v>
      </c>
      <c r="J56" s="1"/>
      <c r="K56" s="1"/>
      <c r="R56">
        <v>48</v>
      </c>
      <c r="S56">
        <f t="shared" si="1"/>
        <v>0</v>
      </c>
      <c r="V56" s="12">
        <f>121.5+0.285</f>
        <v>121.785</v>
      </c>
      <c r="W56" s="12"/>
    </row>
    <row r="57" spans="1:23">
      <c r="A57" t="s">
        <v>373</v>
      </c>
      <c r="B57">
        <v>1</v>
      </c>
      <c r="C57" t="s">
        <v>20</v>
      </c>
      <c r="D57" t="s">
        <v>301</v>
      </c>
      <c r="E57" t="s">
        <v>321</v>
      </c>
      <c r="F57">
        <v>4.29</v>
      </c>
      <c r="G57">
        <v>4.3</v>
      </c>
      <c r="I57" s="1" t="s">
        <v>251</v>
      </c>
      <c r="J57" s="1"/>
      <c r="K57" s="1"/>
      <c r="R57">
        <v>50.7</v>
      </c>
      <c r="S57">
        <f t="shared" si="1"/>
        <v>0</v>
      </c>
      <c r="V57" s="12">
        <v>123.625</v>
      </c>
      <c r="W57" s="12"/>
    </row>
    <row r="58" spans="1:23">
      <c r="A58" t="s">
        <v>373</v>
      </c>
      <c r="B58">
        <v>1</v>
      </c>
      <c r="C58" t="s">
        <v>20</v>
      </c>
      <c r="D58" t="s">
        <v>301</v>
      </c>
      <c r="E58" t="s">
        <v>322</v>
      </c>
      <c r="F58">
        <v>4.4800000000000004</v>
      </c>
      <c r="G58">
        <v>4.6310000000000002</v>
      </c>
      <c r="I58" s="1" t="s">
        <v>251</v>
      </c>
      <c r="J58" s="1"/>
      <c r="K58" s="1"/>
      <c r="R58">
        <v>61.5</v>
      </c>
      <c r="S58">
        <f t="shared" si="1"/>
        <v>0</v>
      </c>
      <c r="V58" s="12">
        <f>124.5+0.61</f>
        <v>125.11</v>
      </c>
      <c r="W58" s="12"/>
    </row>
    <row r="59" spans="1:23">
      <c r="A59" t="s">
        <v>373</v>
      </c>
      <c r="B59">
        <v>1</v>
      </c>
      <c r="C59" t="s">
        <v>20</v>
      </c>
      <c r="D59" t="s">
        <v>304</v>
      </c>
      <c r="E59" t="s">
        <v>323</v>
      </c>
      <c r="F59">
        <v>4.9800000000000004</v>
      </c>
      <c r="G59">
        <v>4.9969999999999999</v>
      </c>
      <c r="I59" s="1" t="s">
        <v>251</v>
      </c>
      <c r="J59" s="1"/>
      <c r="K59" s="1"/>
      <c r="R59">
        <v>71.099999999999994</v>
      </c>
      <c r="S59">
        <f t="shared" si="1"/>
        <v>0</v>
      </c>
      <c r="V59" s="12">
        <f>128.1+1.21</f>
        <v>129.31</v>
      </c>
      <c r="W59" s="12"/>
    </row>
    <row r="60" spans="1:23" s="6" customFormat="1">
      <c r="A60" t="s">
        <v>372</v>
      </c>
      <c r="B60">
        <v>1</v>
      </c>
      <c r="C60" s="7" t="s">
        <v>5</v>
      </c>
      <c r="D60" s="7" t="s">
        <v>108</v>
      </c>
      <c r="E60" s="6" t="s">
        <v>324</v>
      </c>
      <c r="F60" s="6">
        <v>4.7</v>
      </c>
      <c r="G60" s="6">
        <f>4.37-(0.12*(4.37-3.85))</f>
        <v>4.3075999999999999</v>
      </c>
      <c r="I60" s="7" t="s">
        <v>357</v>
      </c>
      <c r="J60" s="7"/>
      <c r="K60" s="7"/>
      <c r="L60" s="6" t="s">
        <v>73</v>
      </c>
      <c r="M60" s="6" t="s">
        <v>74</v>
      </c>
      <c r="N60" s="6" t="s">
        <v>75</v>
      </c>
      <c r="O60" s="6" t="s">
        <v>74</v>
      </c>
      <c r="P60" s="6">
        <v>74.62</v>
      </c>
      <c r="Q60" s="6">
        <v>77.62</v>
      </c>
      <c r="R60" s="6">
        <v>76.12</v>
      </c>
      <c r="S60" s="6">
        <f t="shared" si="1"/>
        <v>1.5</v>
      </c>
      <c r="V60" s="24">
        <v>131.31</v>
      </c>
      <c r="W60" s="12"/>
    </row>
    <row r="61" spans="1:23">
      <c r="A61" t="s">
        <v>372</v>
      </c>
      <c r="B61">
        <v>1</v>
      </c>
      <c r="C61" s="1" t="s">
        <v>5</v>
      </c>
      <c r="D61" s="1" t="s">
        <v>108</v>
      </c>
      <c r="E61" t="s">
        <v>325</v>
      </c>
      <c r="F61">
        <v>4.8</v>
      </c>
      <c r="G61" s="2">
        <f>AVERAGE(5.72, 4.37)</f>
        <v>5.0449999999999999</v>
      </c>
      <c r="H61" s="2">
        <f>G61-4.37</f>
        <v>0.67499999999999982</v>
      </c>
      <c r="I61" s="1" t="s">
        <v>357</v>
      </c>
      <c r="J61" s="1"/>
      <c r="K61" s="1"/>
      <c r="L61" t="s">
        <v>73</v>
      </c>
      <c r="M61" t="s">
        <v>74</v>
      </c>
      <c r="N61" t="s">
        <v>75</v>
      </c>
      <c r="O61" t="s">
        <v>74</v>
      </c>
      <c r="P61">
        <v>74.62</v>
      </c>
      <c r="Q61">
        <v>77.62</v>
      </c>
      <c r="R61">
        <v>76.12</v>
      </c>
      <c r="S61">
        <f t="shared" si="1"/>
        <v>1.5</v>
      </c>
      <c r="V61" s="24">
        <f>131.1+0.61</f>
        <v>131.71</v>
      </c>
      <c r="W61" s="12"/>
    </row>
    <row r="62" spans="1:23">
      <c r="A62" t="s">
        <v>373</v>
      </c>
      <c r="B62">
        <v>1</v>
      </c>
      <c r="C62" s="1" t="s">
        <v>20</v>
      </c>
      <c r="D62" s="1" t="s">
        <v>301</v>
      </c>
      <c r="E62" t="s">
        <v>326</v>
      </c>
      <c r="F62">
        <v>5.32</v>
      </c>
      <c r="G62">
        <v>5.2350000000000003</v>
      </c>
      <c r="I62" s="1" t="s">
        <v>251</v>
      </c>
      <c r="J62" s="1"/>
      <c r="K62" s="1"/>
      <c r="R62">
        <v>79.8</v>
      </c>
      <c r="S62">
        <f t="shared" si="1"/>
        <v>0</v>
      </c>
      <c r="V62" s="25">
        <f>132.3+0.29</f>
        <v>132.59</v>
      </c>
      <c r="W62" s="12"/>
    </row>
    <row r="63" spans="1:23">
      <c r="A63" t="s">
        <v>372</v>
      </c>
      <c r="B63">
        <v>1</v>
      </c>
      <c r="C63" s="1" t="s">
        <v>5</v>
      </c>
      <c r="D63" s="1" t="s">
        <v>108</v>
      </c>
      <c r="E63" t="s">
        <v>320</v>
      </c>
      <c r="F63">
        <v>5.6</v>
      </c>
      <c r="G63" s="2">
        <v>5.72</v>
      </c>
      <c r="H63" s="2"/>
      <c r="I63" s="1" t="s">
        <v>357</v>
      </c>
      <c r="J63" s="1"/>
      <c r="K63" s="1"/>
      <c r="L63" t="s">
        <v>36</v>
      </c>
      <c r="N63" t="s">
        <v>76</v>
      </c>
      <c r="O63" t="s">
        <v>74</v>
      </c>
      <c r="P63">
        <v>82.87</v>
      </c>
      <c r="Q63">
        <v>84.12</v>
      </c>
      <c r="R63">
        <v>83.495000000000005</v>
      </c>
      <c r="S63">
        <f t="shared" si="1"/>
        <v>0.625</v>
      </c>
      <c r="V63" s="12">
        <v>138.33000000000001</v>
      </c>
      <c r="W63" s="12"/>
    </row>
    <row r="64" spans="1:23">
      <c r="A64" t="s">
        <v>371</v>
      </c>
      <c r="B64">
        <v>1</v>
      </c>
      <c r="C64" s="1" t="s">
        <v>5</v>
      </c>
      <c r="D64" s="1" t="s">
        <v>103</v>
      </c>
      <c r="E64" t="s">
        <v>327</v>
      </c>
      <c r="F64">
        <v>5.23</v>
      </c>
      <c r="G64">
        <f>5.59-(0.12*(5.59-5.12))</f>
        <v>5.5335999999999999</v>
      </c>
      <c r="I64" t="s">
        <v>354</v>
      </c>
      <c r="L64" t="s">
        <v>76</v>
      </c>
      <c r="M64" t="s">
        <v>58</v>
      </c>
      <c r="N64" t="s">
        <v>77</v>
      </c>
      <c r="O64" t="s">
        <v>58</v>
      </c>
      <c r="P64">
        <v>83.454999999999998</v>
      </c>
      <c r="Q64">
        <v>84.954999999999998</v>
      </c>
      <c r="R64">
        <v>84.204999999999998</v>
      </c>
      <c r="S64">
        <f t="shared" si="1"/>
        <v>0.75</v>
      </c>
      <c r="V64" s="12">
        <f>140.7+0.63</f>
        <v>141.32999999999998</v>
      </c>
      <c r="W64" s="12"/>
    </row>
    <row r="65" spans="1:23" s="6" customFormat="1">
      <c r="A65" s="6" t="s">
        <v>368</v>
      </c>
      <c r="B65">
        <v>1</v>
      </c>
      <c r="C65" s="7" t="s">
        <v>5</v>
      </c>
      <c r="D65" s="7" t="s">
        <v>103</v>
      </c>
      <c r="E65" s="6" t="s">
        <v>294</v>
      </c>
      <c r="F65" s="6">
        <v>5.2</v>
      </c>
      <c r="G65" s="8">
        <v>4.47</v>
      </c>
      <c r="H65" s="8"/>
      <c r="I65" s="6" t="s">
        <v>361</v>
      </c>
      <c r="L65" s="6" t="s">
        <v>36</v>
      </c>
      <c r="N65" s="6" t="s">
        <v>78</v>
      </c>
      <c r="O65" s="6" t="s">
        <v>79</v>
      </c>
      <c r="P65" s="6">
        <v>82.87</v>
      </c>
      <c r="Q65" s="6">
        <v>92.91</v>
      </c>
      <c r="R65" s="6">
        <v>87.89</v>
      </c>
      <c r="S65" s="6">
        <f t="shared" si="1"/>
        <v>5.019999999999996</v>
      </c>
      <c r="V65" s="12">
        <f>143.7+0.61</f>
        <v>144.31</v>
      </c>
      <c r="W65" s="12"/>
    </row>
    <row r="66" spans="1:23">
      <c r="A66" t="s">
        <v>373</v>
      </c>
      <c r="B66">
        <v>1</v>
      </c>
      <c r="C66" s="1" t="s">
        <v>20</v>
      </c>
      <c r="D66" s="1" t="s">
        <v>304</v>
      </c>
      <c r="E66" t="s">
        <v>328</v>
      </c>
      <c r="F66">
        <v>5.8940000000000001</v>
      </c>
      <c r="G66">
        <v>6.0330000000000004</v>
      </c>
      <c r="I66" s="1" t="s">
        <v>251</v>
      </c>
      <c r="J66" s="1"/>
      <c r="K66" s="1"/>
      <c r="R66">
        <v>89.9</v>
      </c>
      <c r="S66">
        <f t="shared" ref="S66:S97" si="2">(Q66-P66)/2</f>
        <v>0</v>
      </c>
      <c r="V66" s="12">
        <f>147.3+0.62</f>
        <v>147.92000000000002</v>
      </c>
      <c r="W66" s="12"/>
    </row>
    <row r="67" spans="1:23">
      <c r="A67" t="s">
        <v>373</v>
      </c>
      <c r="B67">
        <v>1</v>
      </c>
      <c r="C67" s="1" t="s">
        <v>20</v>
      </c>
      <c r="D67" s="1" t="s">
        <v>301</v>
      </c>
      <c r="E67" t="s">
        <v>329</v>
      </c>
      <c r="F67">
        <v>6.5670000000000002</v>
      </c>
      <c r="G67">
        <v>6.7329999999999997</v>
      </c>
      <c r="I67" s="1" t="s">
        <v>251</v>
      </c>
      <c r="J67" s="1"/>
      <c r="K67" s="1"/>
      <c r="R67">
        <v>98.97</v>
      </c>
      <c r="S67">
        <f t="shared" si="2"/>
        <v>0</v>
      </c>
      <c r="V67" s="12">
        <f>150.3+0.61</f>
        <v>150.91000000000003</v>
      </c>
      <c r="W67" s="12"/>
    </row>
    <row r="68" spans="1:23" s="6" customFormat="1">
      <c r="A68" t="s">
        <v>372</v>
      </c>
      <c r="B68">
        <v>1</v>
      </c>
      <c r="C68" s="7" t="s">
        <v>5</v>
      </c>
      <c r="D68" s="7" t="s">
        <v>108</v>
      </c>
      <c r="E68" s="6" t="s">
        <v>330</v>
      </c>
      <c r="F68" s="6">
        <v>5.6</v>
      </c>
      <c r="G68" s="6">
        <f>AVERAGE(4.37, 5.72)</f>
        <v>5.0449999999999999</v>
      </c>
      <c r="H68" s="8">
        <f>G68-4.37</f>
        <v>0.67499999999999982</v>
      </c>
      <c r="I68" s="6" t="s">
        <v>354</v>
      </c>
      <c r="L68" s="6" t="s">
        <v>80</v>
      </c>
      <c r="M68" s="6" t="s">
        <v>45</v>
      </c>
      <c r="N68" s="6" t="s">
        <v>37</v>
      </c>
      <c r="P68" s="6">
        <v>96.62</v>
      </c>
      <c r="Q68" s="6">
        <v>102.52500000000001</v>
      </c>
      <c r="R68" s="6">
        <v>99.572999999999993</v>
      </c>
      <c r="S68" s="6">
        <f t="shared" si="2"/>
        <v>2.9525000000000006</v>
      </c>
      <c r="V68" s="12">
        <v>153.88</v>
      </c>
    </row>
    <row r="69" spans="1:23">
      <c r="A69" t="s">
        <v>371</v>
      </c>
      <c r="B69">
        <v>1</v>
      </c>
      <c r="C69" s="1" t="s">
        <v>5</v>
      </c>
      <c r="D69" s="1" t="s">
        <v>341</v>
      </c>
      <c r="E69" t="s">
        <v>319</v>
      </c>
      <c r="F69">
        <v>7.1</v>
      </c>
      <c r="G69" s="5"/>
      <c r="H69" s="5"/>
      <c r="L69" t="s">
        <v>81</v>
      </c>
      <c r="M69" t="s">
        <v>58</v>
      </c>
      <c r="N69" t="s">
        <v>82</v>
      </c>
      <c r="O69" t="s">
        <v>58</v>
      </c>
      <c r="P69">
        <v>102.45</v>
      </c>
      <c r="Q69">
        <v>103.95</v>
      </c>
      <c r="R69">
        <v>103.2</v>
      </c>
      <c r="S69">
        <f t="shared" si="2"/>
        <v>0.75</v>
      </c>
      <c r="V69" s="12">
        <f>156.9+0.61</f>
        <v>157.51000000000002</v>
      </c>
    </row>
    <row r="70" spans="1:23">
      <c r="A70" t="s">
        <v>373</v>
      </c>
      <c r="B70">
        <v>1</v>
      </c>
      <c r="C70" s="1" t="s">
        <v>20</v>
      </c>
      <c r="D70" s="1" t="s">
        <v>304</v>
      </c>
      <c r="E70" t="s">
        <v>331</v>
      </c>
      <c r="F70">
        <v>6.9349999999999996</v>
      </c>
      <c r="G70">
        <v>7.14</v>
      </c>
      <c r="I70" s="1" t="s">
        <v>251</v>
      </c>
      <c r="J70" s="1"/>
      <c r="K70" s="1"/>
      <c r="L70" t="s">
        <v>83</v>
      </c>
      <c r="M70" t="s">
        <v>58</v>
      </c>
      <c r="N70" t="s">
        <v>84</v>
      </c>
      <c r="O70" t="s">
        <v>59</v>
      </c>
      <c r="R70">
        <v>104</v>
      </c>
      <c r="S70">
        <f t="shared" si="2"/>
        <v>0</v>
      </c>
      <c r="V70" s="12">
        <f>159.9+0.62</f>
        <v>160.52000000000001</v>
      </c>
    </row>
    <row r="71" spans="1:23">
      <c r="A71" t="s">
        <v>371</v>
      </c>
      <c r="B71">
        <v>1</v>
      </c>
      <c r="C71" s="1" t="s">
        <v>5</v>
      </c>
      <c r="D71" s="1" t="s">
        <v>108</v>
      </c>
      <c r="E71" t="s">
        <v>332</v>
      </c>
      <c r="F71">
        <v>7.3</v>
      </c>
      <c r="G71">
        <f>AVERAGE(7.42, 6.91)</f>
        <v>7.165</v>
      </c>
      <c r="I71" s="1" t="s">
        <v>354</v>
      </c>
      <c r="J71" s="1"/>
      <c r="K71" s="1"/>
      <c r="P71">
        <v>105.455</v>
      </c>
      <c r="Q71">
        <v>106.955</v>
      </c>
      <c r="R71">
        <v>106.205</v>
      </c>
      <c r="S71">
        <f t="shared" si="2"/>
        <v>0.75</v>
      </c>
      <c r="V71" s="12">
        <f>162.9+0.63</f>
        <v>163.53</v>
      </c>
    </row>
    <row r="72" spans="1:23">
      <c r="A72" t="s">
        <v>373</v>
      </c>
      <c r="B72">
        <v>10</v>
      </c>
      <c r="C72" s="1" t="s">
        <v>5</v>
      </c>
      <c r="D72" s="1" t="s">
        <v>301</v>
      </c>
      <c r="E72" t="s">
        <v>331</v>
      </c>
      <c r="F72">
        <v>7.0910000000000002</v>
      </c>
      <c r="G72">
        <v>7.2119999999999997</v>
      </c>
      <c r="I72" s="1" t="s">
        <v>251</v>
      </c>
      <c r="J72" s="1"/>
      <c r="K72" s="1"/>
      <c r="R72">
        <v>107.3</v>
      </c>
      <c r="S72">
        <f t="shared" si="2"/>
        <v>0</v>
      </c>
      <c r="V72" s="12">
        <f>169.5+0.585</f>
        <v>170.08500000000001</v>
      </c>
    </row>
    <row r="73" spans="1:23">
      <c r="A73" t="s">
        <v>371</v>
      </c>
      <c r="B73">
        <v>1</v>
      </c>
      <c r="C73" s="1" t="s">
        <v>5</v>
      </c>
      <c r="D73" s="1" t="s">
        <v>108</v>
      </c>
      <c r="E73" t="s">
        <v>333</v>
      </c>
      <c r="F73">
        <v>7.4</v>
      </c>
      <c r="G73" s="2">
        <v>7.42</v>
      </c>
      <c r="H73" s="2"/>
      <c r="L73" t="s">
        <v>85</v>
      </c>
      <c r="M73" t="s">
        <v>58</v>
      </c>
      <c r="N73" t="s">
        <v>86</v>
      </c>
      <c r="O73" t="s">
        <v>58</v>
      </c>
      <c r="P73">
        <v>109.955</v>
      </c>
      <c r="Q73">
        <v>111.455</v>
      </c>
      <c r="R73">
        <v>110.705</v>
      </c>
      <c r="S73">
        <f t="shared" si="2"/>
        <v>0.75</v>
      </c>
      <c r="V73" s="12">
        <f>174+0.61</f>
        <v>174.61</v>
      </c>
    </row>
    <row r="74" spans="1:23" s="6" customFormat="1">
      <c r="A74" t="s">
        <v>372</v>
      </c>
      <c r="B74">
        <v>1</v>
      </c>
      <c r="C74" s="7" t="s">
        <v>5</v>
      </c>
      <c r="D74" s="7" t="s">
        <v>103</v>
      </c>
      <c r="E74" s="6" t="s">
        <v>334</v>
      </c>
      <c r="F74" s="6">
        <v>11.8</v>
      </c>
      <c r="G74" s="6">
        <f>5.72-(0.25*(5.72-4.37))</f>
        <v>5.3825000000000003</v>
      </c>
      <c r="I74" s="6" t="s">
        <v>357</v>
      </c>
      <c r="L74" s="6" t="s">
        <v>87</v>
      </c>
      <c r="M74" s="6" t="s">
        <v>45</v>
      </c>
      <c r="N74" s="6" t="s">
        <v>88</v>
      </c>
      <c r="O74" s="6" t="s">
        <v>45</v>
      </c>
      <c r="P74" s="6">
        <v>112.62</v>
      </c>
      <c r="Q74" s="6">
        <v>115.62</v>
      </c>
      <c r="R74" s="6">
        <v>114.12</v>
      </c>
      <c r="S74" s="6">
        <f t="shared" si="2"/>
        <v>1.5</v>
      </c>
      <c r="V74" s="12">
        <f>177.6+0.61</f>
        <v>178.21</v>
      </c>
    </row>
    <row r="75" spans="1:23">
      <c r="A75" t="s">
        <v>369</v>
      </c>
      <c r="B75">
        <v>1</v>
      </c>
      <c r="C75" s="1" t="s">
        <v>5</v>
      </c>
      <c r="D75" s="1" t="s">
        <v>108</v>
      </c>
      <c r="E75" t="s">
        <v>335</v>
      </c>
      <c r="F75">
        <v>8.1</v>
      </c>
      <c r="G75" s="5"/>
      <c r="H75" s="5"/>
      <c r="L75" t="s">
        <v>38</v>
      </c>
      <c r="N75" t="s">
        <v>39</v>
      </c>
      <c r="P75">
        <v>115.9</v>
      </c>
      <c r="Q75">
        <v>125.71</v>
      </c>
      <c r="R75">
        <v>120.80500000000001</v>
      </c>
      <c r="S75">
        <f t="shared" si="2"/>
        <v>4.904999999999994</v>
      </c>
      <c r="V75" s="12">
        <f>180.6+0.86</f>
        <v>181.46</v>
      </c>
    </row>
    <row r="76" spans="1:23">
      <c r="A76" t="s">
        <v>372</v>
      </c>
      <c r="B76">
        <v>1</v>
      </c>
      <c r="C76" s="1" t="s">
        <v>5</v>
      </c>
      <c r="D76" s="1" t="s">
        <v>108</v>
      </c>
      <c r="E76" t="s">
        <v>336</v>
      </c>
      <c r="F76">
        <v>7.12</v>
      </c>
      <c r="G76">
        <f>AVERAGE(8.58, 6.14)</f>
        <v>7.3599999999999994</v>
      </c>
      <c r="I76" t="s">
        <v>357</v>
      </c>
      <c r="L76" t="s">
        <v>89</v>
      </c>
      <c r="M76" t="s">
        <v>45</v>
      </c>
      <c r="N76" t="s">
        <v>90</v>
      </c>
      <c r="O76" t="s">
        <v>45</v>
      </c>
      <c r="P76">
        <v>119.32</v>
      </c>
      <c r="Q76">
        <v>122.32</v>
      </c>
      <c r="R76">
        <v>120.82</v>
      </c>
      <c r="S76">
        <f t="shared" si="2"/>
        <v>1.5</v>
      </c>
      <c r="V76" s="12">
        <f>183.6+0.1</f>
        <v>183.7</v>
      </c>
    </row>
    <row r="77" spans="1:23">
      <c r="A77" t="s">
        <v>371</v>
      </c>
      <c r="B77">
        <v>1</v>
      </c>
      <c r="C77" s="1" t="s">
        <v>5</v>
      </c>
      <c r="D77" s="1" t="s">
        <v>103</v>
      </c>
      <c r="E77" t="s">
        <v>337</v>
      </c>
      <c r="F77">
        <v>7.8</v>
      </c>
      <c r="G77" s="2">
        <f>8.29-(0.7*(8.29-7.42))</f>
        <v>7.681</v>
      </c>
      <c r="H77" s="2"/>
      <c r="I77" t="s">
        <v>354</v>
      </c>
      <c r="L77" t="s">
        <v>91</v>
      </c>
      <c r="M77" t="s">
        <v>59</v>
      </c>
      <c r="N77" t="s">
        <v>92</v>
      </c>
      <c r="O77" t="s">
        <v>59</v>
      </c>
      <c r="P77">
        <v>128.255</v>
      </c>
      <c r="Q77">
        <v>129.755</v>
      </c>
      <c r="R77">
        <v>129.005</v>
      </c>
      <c r="S77">
        <f t="shared" si="2"/>
        <v>0.75</v>
      </c>
      <c r="V77" s="12">
        <f>185.7+0.63</f>
        <v>186.32999999999998</v>
      </c>
    </row>
    <row r="78" spans="1:23">
      <c r="A78" t="s">
        <v>365</v>
      </c>
      <c r="B78">
        <v>1</v>
      </c>
      <c r="C78" s="1" t="s">
        <v>5</v>
      </c>
      <c r="D78" s="1" t="s">
        <v>108</v>
      </c>
      <c r="E78" t="s">
        <v>338</v>
      </c>
      <c r="F78">
        <v>7</v>
      </c>
      <c r="G78" s="5"/>
      <c r="H78" s="5"/>
      <c r="L78" t="s">
        <v>39</v>
      </c>
      <c r="N78" t="s">
        <v>40</v>
      </c>
      <c r="P78">
        <v>125.71</v>
      </c>
      <c r="Q78">
        <v>132.85499999999999</v>
      </c>
      <c r="R78">
        <v>129.28299999999999</v>
      </c>
      <c r="S78">
        <f t="shared" si="2"/>
        <v>3.572499999999998</v>
      </c>
      <c r="V78" s="12">
        <f>188.7+0.41</f>
        <v>189.10999999999999</v>
      </c>
    </row>
    <row r="79" spans="1:23">
      <c r="A79" t="s">
        <v>369</v>
      </c>
      <c r="B79">
        <v>1</v>
      </c>
      <c r="C79" s="1" t="s">
        <v>5</v>
      </c>
      <c r="D79" s="1" t="s">
        <v>108</v>
      </c>
      <c r="E79" t="s">
        <v>339</v>
      </c>
      <c r="F79">
        <v>8.68</v>
      </c>
      <c r="G79" s="5"/>
      <c r="H79" s="5"/>
      <c r="L79" t="s">
        <v>39</v>
      </c>
      <c r="N79" t="s">
        <v>40</v>
      </c>
      <c r="P79">
        <v>125.71</v>
      </c>
      <c r="Q79">
        <v>132.85499999999999</v>
      </c>
      <c r="R79">
        <v>129.28299999999999</v>
      </c>
      <c r="S79">
        <f t="shared" si="2"/>
        <v>3.572499999999998</v>
      </c>
      <c r="V79" s="12">
        <f>193.2+0.61</f>
        <v>193.81</v>
      </c>
    </row>
    <row r="80" spans="1:23">
      <c r="A80" t="s">
        <v>372</v>
      </c>
      <c r="B80">
        <v>1</v>
      </c>
      <c r="C80" s="1" t="s">
        <v>5</v>
      </c>
      <c r="D80" s="1" t="s">
        <v>103</v>
      </c>
      <c r="E80" t="s">
        <v>270</v>
      </c>
      <c r="F80">
        <v>5.8</v>
      </c>
      <c r="G80" s="5"/>
      <c r="H80" s="5"/>
      <c r="I80" t="s">
        <v>357</v>
      </c>
      <c r="L80" t="s">
        <v>91</v>
      </c>
      <c r="M80" t="s">
        <v>45</v>
      </c>
      <c r="N80" t="s">
        <v>93</v>
      </c>
      <c r="O80" t="s">
        <v>45</v>
      </c>
      <c r="P80">
        <v>128.91999999999999</v>
      </c>
      <c r="Q80">
        <v>131.91999999999999</v>
      </c>
      <c r="R80">
        <v>130.41999999999999</v>
      </c>
      <c r="S80">
        <f t="shared" si="2"/>
        <v>1.5</v>
      </c>
      <c r="V80" s="12">
        <f>196.9+1.31</f>
        <v>198.21</v>
      </c>
    </row>
    <row r="81" spans="1:22">
      <c r="A81" t="s">
        <v>372</v>
      </c>
      <c r="B81">
        <v>1</v>
      </c>
      <c r="C81" s="1" t="s">
        <v>5</v>
      </c>
      <c r="D81" s="1" t="s">
        <v>103</v>
      </c>
      <c r="E81" t="s">
        <v>340</v>
      </c>
      <c r="F81">
        <v>8</v>
      </c>
      <c r="G81">
        <f>AVERAGE(9.83, 6.14)</f>
        <v>7.9849999999999994</v>
      </c>
      <c r="H81">
        <f>G81-6.14</f>
        <v>1.8449999999999998</v>
      </c>
      <c r="I81" t="s">
        <v>357</v>
      </c>
      <c r="L81" t="s">
        <v>91</v>
      </c>
      <c r="M81" t="s">
        <v>45</v>
      </c>
      <c r="N81" t="s">
        <v>93</v>
      </c>
      <c r="O81" t="s">
        <v>45</v>
      </c>
      <c r="P81">
        <v>128.91999999999999</v>
      </c>
      <c r="Q81">
        <v>131.91999999999999</v>
      </c>
      <c r="R81">
        <v>130.41999999999999</v>
      </c>
      <c r="S81">
        <f t="shared" si="2"/>
        <v>1.5</v>
      </c>
      <c r="V81" s="12">
        <f>199.9+0.49</f>
        <v>200.39000000000001</v>
      </c>
    </row>
    <row r="82" spans="1:22">
      <c r="A82" t="s">
        <v>371</v>
      </c>
      <c r="B82">
        <v>1</v>
      </c>
      <c r="C82" s="1" t="s">
        <v>5</v>
      </c>
      <c r="D82" s="1" t="s">
        <v>342</v>
      </c>
      <c r="E82" t="s">
        <v>319</v>
      </c>
      <c r="F82">
        <v>8.7799999999999994</v>
      </c>
      <c r="G82" s="5"/>
      <c r="H82" s="5"/>
      <c r="L82" t="s">
        <v>92</v>
      </c>
      <c r="M82" t="s">
        <v>58</v>
      </c>
      <c r="N82" t="s">
        <v>93</v>
      </c>
      <c r="O82" t="s">
        <v>58</v>
      </c>
      <c r="P82">
        <v>129.75</v>
      </c>
      <c r="Q82">
        <v>131.25</v>
      </c>
      <c r="R82">
        <v>130.5</v>
      </c>
      <c r="S82">
        <f t="shared" si="2"/>
        <v>0.75</v>
      </c>
      <c r="V82" s="12">
        <f>201.4+0.61</f>
        <v>202.01000000000002</v>
      </c>
    </row>
    <row r="83" spans="1:22">
      <c r="A83" t="s">
        <v>372</v>
      </c>
      <c r="B83">
        <v>1</v>
      </c>
      <c r="C83" s="1" t="s">
        <v>5</v>
      </c>
      <c r="D83" s="1" t="s">
        <v>108</v>
      </c>
      <c r="E83" t="s">
        <v>343</v>
      </c>
      <c r="F83">
        <v>7.8</v>
      </c>
      <c r="G83">
        <f>9.83-(0.35*(9.83-8.58))</f>
        <v>9.3925000000000001</v>
      </c>
      <c r="I83" t="s">
        <v>357</v>
      </c>
      <c r="L83" t="s">
        <v>93</v>
      </c>
      <c r="M83" t="s">
        <v>45</v>
      </c>
      <c r="N83" t="s">
        <v>40</v>
      </c>
      <c r="P83">
        <v>131.91999999999999</v>
      </c>
      <c r="Q83">
        <v>132.85499999999999</v>
      </c>
      <c r="R83">
        <v>132.38800000000001</v>
      </c>
      <c r="S83">
        <f t="shared" si="2"/>
        <v>0.46750000000000114</v>
      </c>
      <c r="V83" s="12">
        <f>205+1.41</f>
        <v>206.41</v>
      </c>
    </row>
    <row r="84" spans="1:22">
      <c r="A84" t="s">
        <v>372</v>
      </c>
      <c r="B84">
        <v>1</v>
      </c>
      <c r="C84" s="1" t="s">
        <v>5</v>
      </c>
      <c r="D84" s="1" t="s">
        <v>108</v>
      </c>
      <c r="E84" t="s">
        <v>344</v>
      </c>
      <c r="F84">
        <v>8.1</v>
      </c>
      <c r="G84">
        <f>9.83-(0.13*(9.83-8.58))</f>
        <v>9.6675000000000004</v>
      </c>
      <c r="I84" t="s">
        <v>357</v>
      </c>
      <c r="L84" t="s">
        <v>95</v>
      </c>
      <c r="M84" t="s">
        <v>45</v>
      </c>
      <c r="N84" t="s">
        <v>94</v>
      </c>
      <c r="O84" t="s">
        <v>45</v>
      </c>
      <c r="P84">
        <v>138.52000000000001</v>
      </c>
      <c r="Q84">
        <v>141.52000000000001</v>
      </c>
      <c r="R84">
        <v>140.02000000000001</v>
      </c>
      <c r="S84">
        <f t="shared" si="2"/>
        <v>1.5</v>
      </c>
      <c r="V84" s="12">
        <f>208+1.19</f>
        <v>209.19</v>
      </c>
    </row>
    <row r="85" spans="1:22">
      <c r="A85" t="s">
        <v>365</v>
      </c>
      <c r="B85">
        <v>1</v>
      </c>
      <c r="C85" s="1" t="s">
        <v>5</v>
      </c>
      <c r="D85" s="1" t="s">
        <v>103</v>
      </c>
      <c r="E85" t="s">
        <v>345</v>
      </c>
      <c r="F85">
        <v>9.9</v>
      </c>
      <c r="G85" s="5"/>
      <c r="H85" s="5"/>
      <c r="N85" t="s">
        <v>41</v>
      </c>
      <c r="P85">
        <v>144.81</v>
      </c>
      <c r="Q85">
        <v>154.25</v>
      </c>
      <c r="R85">
        <v>149.53</v>
      </c>
      <c r="S85">
        <f t="shared" si="2"/>
        <v>4.7199999999999989</v>
      </c>
      <c r="V85" s="12">
        <f>211+0.61</f>
        <v>211.61</v>
      </c>
    </row>
    <row r="86" spans="1:22">
      <c r="A86" t="s">
        <v>371</v>
      </c>
      <c r="B86">
        <v>1</v>
      </c>
      <c r="C86" s="1" t="s">
        <v>5</v>
      </c>
      <c r="D86" s="1" t="s">
        <v>108</v>
      </c>
      <c r="E86" t="s">
        <v>337</v>
      </c>
      <c r="F86">
        <v>9.4</v>
      </c>
      <c r="G86" s="2">
        <f>10.55-(0.9*(10.55-9.53))</f>
        <v>9.6319999999999997</v>
      </c>
      <c r="H86" s="2"/>
      <c r="I86" t="s">
        <v>354</v>
      </c>
      <c r="L86" t="s">
        <v>96</v>
      </c>
      <c r="M86" t="s">
        <v>58</v>
      </c>
      <c r="N86" t="s">
        <v>97</v>
      </c>
      <c r="O86" t="s">
        <v>58</v>
      </c>
      <c r="P86">
        <v>151.94999999999999</v>
      </c>
      <c r="Q86">
        <v>153.44999999999999</v>
      </c>
      <c r="R86">
        <v>152.69999999999999</v>
      </c>
      <c r="S86">
        <f t="shared" si="2"/>
        <v>0.75</v>
      </c>
      <c r="V86" s="12">
        <f>214.6+1.265</f>
        <v>215.86499999999998</v>
      </c>
    </row>
    <row r="87" spans="1:22">
      <c r="A87" t="s">
        <v>365</v>
      </c>
      <c r="B87">
        <v>1</v>
      </c>
      <c r="C87" s="1" t="s">
        <v>5</v>
      </c>
      <c r="D87" s="1" t="s">
        <v>346</v>
      </c>
      <c r="E87" t="s">
        <v>345</v>
      </c>
      <c r="F87">
        <v>10.1</v>
      </c>
      <c r="G87" s="5"/>
      <c r="H87" s="5"/>
      <c r="L87" t="s">
        <v>41</v>
      </c>
      <c r="N87" t="s">
        <v>42</v>
      </c>
      <c r="P87">
        <v>154.25</v>
      </c>
      <c r="Q87">
        <v>164.76</v>
      </c>
      <c r="R87">
        <v>159.505</v>
      </c>
      <c r="S87">
        <f t="shared" si="2"/>
        <v>5.2549999999999955</v>
      </c>
      <c r="V87" s="12">
        <f>217.6+1.22</f>
        <v>218.82</v>
      </c>
    </row>
    <row r="88" spans="1:22">
      <c r="A88" t="s">
        <v>372</v>
      </c>
      <c r="B88">
        <v>1</v>
      </c>
      <c r="C88" s="1" t="s">
        <v>5</v>
      </c>
      <c r="D88" s="1" t="s">
        <v>103</v>
      </c>
      <c r="E88" t="s">
        <v>263</v>
      </c>
      <c r="F88">
        <v>15.9</v>
      </c>
      <c r="G88">
        <f>AVERAGE(9.83, 10.46)</f>
        <v>10.145</v>
      </c>
      <c r="H88">
        <f>G88-9.83</f>
        <v>0.3149999999999995</v>
      </c>
      <c r="I88" t="s">
        <v>357</v>
      </c>
      <c r="L88" t="s">
        <v>43</v>
      </c>
      <c r="N88" t="s">
        <v>98</v>
      </c>
      <c r="O88" s="1" t="s">
        <v>45</v>
      </c>
      <c r="P88">
        <v>175.17500000000001</v>
      </c>
      <c r="Q88">
        <v>176.92</v>
      </c>
      <c r="R88">
        <v>176.048</v>
      </c>
      <c r="S88">
        <f t="shared" si="2"/>
        <v>0.87249999999998806</v>
      </c>
      <c r="V88" s="12">
        <f>220.6+1.08</f>
        <v>221.68</v>
      </c>
    </row>
    <row r="89" spans="1:22">
      <c r="A89" t="s">
        <v>372</v>
      </c>
      <c r="B89">
        <v>1</v>
      </c>
      <c r="C89" s="1" t="s">
        <v>5</v>
      </c>
      <c r="D89" s="1" t="s">
        <v>103</v>
      </c>
      <c r="E89" t="s">
        <v>347</v>
      </c>
      <c r="F89">
        <v>14.8</v>
      </c>
      <c r="G89" s="5"/>
      <c r="H89" s="5"/>
      <c r="I89" t="s">
        <v>357</v>
      </c>
      <c r="L89" t="s">
        <v>44</v>
      </c>
      <c r="N89" t="s">
        <v>99</v>
      </c>
      <c r="O89" s="1" t="s">
        <v>45</v>
      </c>
      <c r="P89">
        <v>184.1</v>
      </c>
      <c r="Q89">
        <v>186.52</v>
      </c>
      <c r="R89">
        <v>185.31</v>
      </c>
      <c r="S89">
        <f t="shared" si="2"/>
        <v>1.210000000000008</v>
      </c>
      <c r="V89" s="12">
        <f>223.6+0.41</f>
        <v>224.01</v>
      </c>
    </row>
    <row r="90" spans="1:22">
      <c r="A90" t="s">
        <v>372</v>
      </c>
      <c r="B90">
        <v>1</v>
      </c>
      <c r="C90" s="1" t="s">
        <v>5</v>
      </c>
      <c r="D90" s="1" t="s">
        <v>108</v>
      </c>
      <c r="E90" t="s">
        <v>348</v>
      </c>
      <c r="F90">
        <v>9.1999999999999993</v>
      </c>
      <c r="G90">
        <f>AVERAGE(9.83, 8.58)</f>
        <v>9.2050000000000001</v>
      </c>
      <c r="H90">
        <f>G90-8.58</f>
        <v>0.625</v>
      </c>
      <c r="I90" t="s">
        <v>357</v>
      </c>
      <c r="L90" t="s">
        <v>99</v>
      </c>
      <c r="M90" s="1" t="s">
        <v>45</v>
      </c>
      <c r="N90" t="s">
        <v>100</v>
      </c>
      <c r="O90" s="1" t="s">
        <v>45</v>
      </c>
      <c r="P90">
        <v>186.52</v>
      </c>
      <c r="Q90">
        <v>189.52</v>
      </c>
      <c r="R90">
        <v>188.02</v>
      </c>
      <c r="S90">
        <f t="shared" si="2"/>
        <v>1.5</v>
      </c>
      <c r="V90" s="12">
        <f>224.2+0.63</f>
        <v>224.82999999999998</v>
      </c>
    </row>
    <row r="91" spans="1:22">
      <c r="A91" t="s">
        <v>372</v>
      </c>
      <c r="B91">
        <v>1</v>
      </c>
      <c r="C91" s="1" t="s">
        <v>5</v>
      </c>
      <c r="D91" s="1" t="s">
        <v>103</v>
      </c>
      <c r="E91" t="s">
        <v>255</v>
      </c>
      <c r="F91">
        <v>11.4</v>
      </c>
      <c r="G91">
        <f>AVERAGE(11.63, 10.46)</f>
        <v>11.045000000000002</v>
      </c>
      <c r="H91">
        <f>G91-10.46</f>
        <v>0.58500000000000085</v>
      </c>
      <c r="I91" t="s">
        <v>357</v>
      </c>
      <c r="L91" t="s">
        <v>102</v>
      </c>
      <c r="M91" s="1" t="s">
        <v>45</v>
      </c>
      <c r="N91" t="s">
        <v>101</v>
      </c>
      <c r="O91" s="1" t="s">
        <v>45</v>
      </c>
      <c r="P91">
        <v>186.52</v>
      </c>
      <c r="Q91">
        <v>189.52</v>
      </c>
      <c r="R91">
        <v>188.02</v>
      </c>
      <c r="S91">
        <f t="shared" si="2"/>
        <v>1.5</v>
      </c>
      <c r="V91" s="26">
        <f>225.7+1.22</f>
        <v>226.92</v>
      </c>
    </row>
    <row r="92" spans="1:22">
      <c r="A92" t="s">
        <v>371</v>
      </c>
      <c r="B92">
        <v>1</v>
      </c>
      <c r="C92" t="s">
        <v>5</v>
      </c>
      <c r="D92" t="s">
        <v>103</v>
      </c>
      <c r="E92" t="s">
        <v>253</v>
      </c>
      <c r="F92">
        <v>11.9</v>
      </c>
      <c r="G92" s="2">
        <f>13.53-(0.9*(13.53-11.9))</f>
        <v>12.063000000000001</v>
      </c>
      <c r="H92" s="2"/>
      <c r="I92" t="s">
        <v>354</v>
      </c>
      <c r="L92" t="s">
        <v>104</v>
      </c>
      <c r="M92" t="s">
        <v>58</v>
      </c>
      <c r="N92" t="s">
        <v>46</v>
      </c>
      <c r="O92" t="s">
        <v>58</v>
      </c>
      <c r="P92">
        <v>197.05500000000001</v>
      </c>
      <c r="Q92">
        <v>198.55500000000001</v>
      </c>
      <c r="R92">
        <v>197.80500000000001</v>
      </c>
      <c r="S92">
        <f t="shared" si="2"/>
        <v>0.75</v>
      </c>
      <c r="V92" s="12">
        <f>228.7+0.61</f>
        <v>229.31</v>
      </c>
    </row>
    <row r="93" spans="1:22">
      <c r="A93" t="s">
        <v>371</v>
      </c>
      <c r="B93">
        <v>1</v>
      </c>
      <c r="C93" s="1" t="s">
        <v>5</v>
      </c>
      <c r="D93" t="s">
        <v>103</v>
      </c>
      <c r="E93" t="s">
        <v>254</v>
      </c>
      <c r="F93">
        <v>12.7</v>
      </c>
      <c r="G93" s="2">
        <f>13.53-(0.6*(13.53-11.9))</f>
        <v>12.552</v>
      </c>
      <c r="H93" s="2"/>
      <c r="I93" t="s">
        <v>354</v>
      </c>
      <c r="L93" t="s">
        <v>105</v>
      </c>
      <c r="M93" t="s">
        <v>58</v>
      </c>
      <c r="N93" t="s">
        <v>106</v>
      </c>
      <c r="O93" t="s">
        <v>58</v>
      </c>
      <c r="P93">
        <v>220.755</v>
      </c>
      <c r="Q93">
        <v>222.255</v>
      </c>
      <c r="R93">
        <v>221.505</v>
      </c>
      <c r="S93">
        <f t="shared" si="2"/>
        <v>0.75</v>
      </c>
      <c r="V93" s="12">
        <f>231.7+0.66</f>
        <v>232.35999999999999</v>
      </c>
    </row>
    <row r="94" spans="1:22">
      <c r="A94" t="s">
        <v>372</v>
      </c>
      <c r="B94">
        <v>1</v>
      </c>
      <c r="C94" t="s">
        <v>5</v>
      </c>
      <c r="D94" t="s">
        <v>103</v>
      </c>
      <c r="E94" t="s">
        <v>255</v>
      </c>
      <c r="F94">
        <v>12.1</v>
      </c>
      <c r="G94">
        <f>AVERAGE(11.63, 10.46)</f>
        <v>11.045000000000002</v>
      </c>
      <c r="H94">
        <f>G94-10.46</f>
        <v>0.58500000000000085</v>
      </c>
      <c r="I94" t="s">
        <v>357</v>
      </c>
      <c r="L94" t="s">
        <v>107</v>
      </c>
      <c r="N94" t="s">
        <v>109</v>
      </c>
      <c r="O94" t="s">
        <v>45</v>
      </c>
      <c r="P94">
        <v>224.185</v>
      </c>
      <c r="Q94">
        <v>228.02</v>
      </c>
      <c r="R94">
        <v>226.10300000000001</v>
      </c>
      <c r="S94">
        <f t="shared" si="2"/>
        <v>1.917500000000004</v>
      </c>
      <c r="V94" s="12">
        <f>235.3+0.26</f>
        <v>235.56</v>
      </c>
    </row>
    <row r="95" spans="1:22">
      <c r="A95" t="s">
        <v>372</v>
      </c>
      <c r="B95">
        <v>1</v>
      </c>
      <c r="C95" s="1" t="s">
        <v>5</v>
      </c>
      <c r="D95" t="s">
        <v>103</v>
      </c>
      <c r="E95" t="s">
        <v>256</v>
      </c>
      <c r="F95">
        <v>16.899999999999999</v>
      </c>
      <c r="G95">
        <f>13.13-(0.86*(13.13-11.79))</f>
        <v>11.977599999999999</v>
      </c>
      <c r="I95" t="s">
        <v>357</v>
      </c>
      <c r="L95" t="s">
        <v>107</v>
      </c>
      <c r="N95" t="s">
        <v>109</v>
      </c>
      <c r="O95" t="s">
        <v>45</v>
      </c>
      <c r="P95">
        <v>224.185</v>
      </c>
      <c r="Q95">
        <v>228.02</v>
      </c>
      <c r="R95">
        <v>226.10300000000001</v>
      </c>
      <c r="S95">
        <f t="shared" si="2"/>
        <v>1.917500000000004</v>
      </c>
      <c r="V95" s="12">
        <f>238.3+0.61</f>
        <v>238.91000000000003</v>
      </c>
    </row>
    <row r="96" spans="1:22">
      <c r="A96" t="s">
        <v>371</v>
      </c>
      <c r="B96">
        <v>1</v>
      </c>
      <c r="C96" s="1" t="s">
        <v>5</v>
      </c>
      <c r="D96" t="s">
        <v>110</v>
      </c>
      <c r="E96" t="s">
        <v>253</v>
      </c>
      <c r="F96">
        <v>13.2</v>
      </c>
      <c r="G96" s="2">
        <v>13.53</v>
      </c>
      <c r="H96" s="2"/>
      <c r="I96" t="s">
        <v>354</v>
      </c>
      <c r="L96" t="s">
        <v>111</v>
      </c>
      <c r="M96" t="s">
        <v>58</v>
      </c>
      <c r="N96" t="s">
        <v>112</v>
      </c>
      <c r="O96" t="s">
        <v>58</v>
      </c>
      <c r="P96">
        <v>235.45500000000001</v>
      </c>
      <c r="Q96">
        <v>236.95500000000001</v>
      </c>
      <c r="R96">
        <v>236.20500000000001</v>
      </c>
      <c r="S96">
        <f t="shared" si="2"/>
        <v>0.75</v>
      </c>
      <c r="V96" s="12">
        <v>242.81</v>
      </c>
    </row>
    <row r="97" spans="1:22">
      <c r="A97" t="s">
        <v>372</v>
      </c>
      <c r="B97">
        <v>1</v>
      </c>
      <c r="C97" t="s">
        <v>5</v>
      </c>
      <c r="D97" t="s">
        <v>108</v>
      </c>
      <c r="E97" t="s">
        <v>257</v>
      </c>
      <c r="F97">
        <v>13.4</v>
      </c>
      <c r="G97" s="5"/>
      <c r="H97" s="5"/>
      <c r="L97" t="s">
        <v>112</v>
      </c>
      <c r="M97" t="s">
        <v>45</v>
      </c>
      <c r="N97" t="s">
        <v>113</v>
      </c>
      <c r="P97">
        <v>237.62</v>
      </c>
      <c r="Q97">
        <v>243.42</v>
      </c>
      <c r="R97">
        <v>240.52</v>
      </c>
      <c r="S97">
        <f t="shared" si="2"/>
        <v>2.8999999999999915</v>
      </c>
      <c r="V97" s="12">
        <f>243.4+0.61</f>
        <v>244.01000000000002</v>
      </c>
    </row>
    <row r="98" spans="1:22">
      <c r="A98" t="s">
        <v>371</v>
      </c>
      <c r="B98">
        <v>1</v>
      </c>
      <c r="C98" s="1" t="s">
        <v>5</v>
      </c>
      <c r="D98" t="s">
        <v>103</v>
      </c>
      <c r="E98" t="s">
        <v>258</v>
      </c>
      <c r="F98">
        <v>13.52</v>
      </c>
      <c r="G98" s="2">
        <v>13.53</v>
      </c>
      <c r="H98" s="2"/>
      <c r="I98" t="s">
        <v>354</v>
      </c>
      <c r="L98" t="s">
        <v>114</v>
      </c>
      <c r="M98" t="s">
        <v>58</v>
      </c>
      <c r="N98" t="s">
        <v>115</v>
      </c>
      <c r="O98" t="s">
        <v>58</v>
      </c>
      <c r="P98">
        <v>241.45500000000001</v>
      </c>
      <c r="Q98">
        <v>242.95500000000001</v>
      </c>
      <c r="R98">
        <v>242.20500000000001</v>
      </c>
      <c r="S98">
        <f t="shared" ref="S98:S129" si="3">(Q98-P98)/2</f>
        <v>0.75</v>
      </c>
      <c r="V98" s="26">
        <f>244.9+0.66</f>
        <v>245.56</v>
      </c>
    </row>
    <row r="99" spans="1:22">
      <c r="A99" t="s">
        <v>372</v>
      </c>
      <c r="B99">
        <v>1</v>
      </c>
      <c r="C99" s="1" t="s">
        <v>5</v>
      </c>
      <c r="D99" t="s">
        <v>108</v>
      </c>
      <c r="E99" t="s">
        <v>259</v>
      </c>
      <c r="F99">
        <v>15.1</v>
      </c>
      <c r="G99">
        <v>15.1</v>
      </c>
      <c r="I99" t="s">
        <v>356</v>
      </c>
      <c r="L99" t="s">
        <v>116</v>
      </c>
      <c r="M99" t="s">
        <v>117</v>
      </c>
      <c r="N99" t="s">
        <v>118</v>
      </c>
      <c r="O99" t="s">
        <v>117</v>
      </c>
      <c r="P99">
        <v>253.81</v>
      </c>
      <c r="Q99">
        <v>256.73</v>
      </c>
      <c r="R99">
        <v>255.27</v>
      </c>
      <c r="S99">
        <f t="shared" si="3"/>
        <v>1.460000000000008</v>
      </c>
      <c r="V99" s="24">
        <v>247.62</v>
      </c>
    </row>
    <row r="100" spans="1:22">
      <c r="A100" t="s">
        <v>372</v>
      </c>
      <c r="B100">
        <v>1</v>
      </c>
      <c r="C100" t="s">
        <v>5</v>
      </c>
      <c r="D100" t="s">
        <v>103</v>
      </c>
      <c r="E100" t="s">
        <v>260</v>
      </c>
      <c r="F100">
        <v>16.7</v>
      </c>
      <c r="G100">
        <f>16.38-(0.35*(16.38-15.1))</f>
        <v>15.931999999999999</v>
      </c>
      <c r="I100" t="s">
        <v>357</v>
      </c>
      <c r="L100" t="s">
        <v>119</v>
      </c>
      <c r="N100" t="s">
        <v>120</v>
      </c>
      <c r="O100" t="s">
        <v>117</v>
      </c>
      <c r="P100">
        <v>260.08999999999997</v>
      </c>
      <c r="Q100">
        <v>263.41000000000003</v>
      </c>
      <c r="R100">
        <v>261.75</v>
      </c>
      <c r="S100">
        <f t="shared" si="3"/>
        <v>1.660000000000025</v>
      </c>
      <c r="V100" s="24">
        <v>248.82</v>
      </c>
    </row>
    <row r="101" spans="1:22">
      <c r="A101" t="s">
        <v>372</v>
      </c>
      <c r="B101">
        <v>1</v>
      </c>
      <c r="C101" s="1" t="s">
        <v>5</v>
      </c>
      <c r="D101" t="s">
        <v>108</v>
      </c>
      <c r="E101" t="s">
        <v>261</v>
      </c>
      <c r="F101">
        <v>16.3</v>
      </c>
      <c r="G101">
        <f>16.38-(0.95*(16.38-16.27))</f>
        <v>16.275500000000001</v>
      </c>
      <c r="I101" t="s">
        <v>356</v>
      </c>
      <c r="L101" t="s">
        <v>120</v>
      </c>
      <c r="M101" t="s">
        <v>117</v>
      </c>
      <c r="N101" t="s">
        <v>121</v>
      </c>
      <c r="O101" t="s">
        <v>117</v>
      </c>
      <c r="P101">
        <v>263.41000000000003</v>
      </c>
      <c r="Q101">
        <v>266.41000000000003</v>
      </c>
      <c r="R101">
        <v>264.91000000000003</v>
      </c>
      <c r="S101">
        <f t="shared" si="3"/>
        <v>1.5</v>
      </c>
      <c r="V101" s="26">
        <v>251.78</v>
      </c>
    </row>
    <row r="102" spans="1:22">
      <c r="A102" t="s">
        <v>373</v>
      </c>
      <c r="B102">
        <v>10</v>
      </c>
      <c r="C102" t="s">
        <v>5</v>
      </c>
      <c r="D102" t="s">
        <v>122</v>
      </c>
      <c r="E102" t="s">
        <v>123</v>
      </c>
      <c r="F102">
        <v>16.292999999999999</v>
      </c>
      <c r="G102">
        <v>16.268000000000001</v>
      </c>
      <c r="I102" s="1" t="s">
        <v>251</v>
      </c>
      <c r="J102" s="1"/>
      <c r="K102" s="1"/>
      <c r="R102">
        <v>272.2</v>
      </c>
      <c r="S102">
        <f t="shared" si="3"/>
        <v>0</v>
      </c>
      <c r="V102" s="26">
        <v>253.88</v>
      </c>
    </row>
    <row r="103" spans="1:22">
      <c r="A103" t="s">
        <v>373</v>
      </c>
      <c r="B103">
        <v>10</v>
      </c>
      <c r="C103" s="1" t="s">
        <v>5</v>
      </c>
      <c r="D103" t="s">
        <v>124</v>
      </c>
      <c r="E103" t="s">
        <v>125</v>
      </c>
      <c r="F103">
        <v>16.327000000000002</v>
      </c>
      <c r="G103">
        <v>16.303000000000001</v>
      </c>
      <c r="I103" s="1" t="s">
        <v>251</v>
      </c>
      <c r="J103" s="1"/>
      <c r="K103" s="1"/>
      <c r="R103">
        <v>276.7</v>
      </c>
      <c r="S103">
        <f t="shared" si="3"/>
        <v>0</v>
      </c>
      <c r="V103" s="12">
        <f>255.92+0.61</f>
        <v>256.52999999999997</v>
      </c>
    </row>
    <row r="104" spans="1:22">
      <c r="A104" t="s">
        <v>373</v>
      </c>
      <c r="B104">
        <v>10</v>
      </c>
      <c r="C104" t="s">
        <v>5</v>
      </c>
      <c r="D104" t="s">
        <v>122</v>
      </c>
      <c r="E104" t="s">
        <v>125</v>
      </c>
      <c r="F104">
        <v>16.488</v>
      </c>
      <c r="G104">
        <v>16.472000000000001</v>
      </c>
      <c r="I104" s="1" t="s">
        <v>251</v>
      </c>
      <c r="J104" s="1"/>
      <c r="K104" s="1"/>
      <c r="R104">
        <v>279</v>
      </c>
      <c r="S104">
        <f t="shared" si="3"/>
        <v>0</v>
      </c>
      <c r="V104" s="24">
        <v>258.33499999999998</v>
      </c>
    </row>
    <row r="105" spans="1:22">
      <c r="A105" t="s">
        <v>371</v>
      </c>
      <c r="B105">
        <v>1</v>
      </c>
      <c r="C105" s="1" t="s">
        <v>5</v>
      </c>
      <c r="D105" t="s">
        <v>108</v>
      </c>
      <c r="E105" t="s">
        <v>254</v>
      </c>
      <c r="F105">
        <v>17.399999999999999</v>
      </c>
      <c r="G105">
        <f>17.95-(0.05*(17.95-14.91))</f>
        <v>17.797999999999998</v>
      </c>
      <c r="I105" s="1" t="s">
        <v>354</v>
      </c>
      <c r="J105" s="1"/>
      <c r="K105" s="1"/>
      <c r="L105" t="s">
        <v>126</v>
      </c>
      <c r="M105" t="s">
        <v>58</v>
      </c>
      <c r="N105" t="s">
        <v>127</v>
      </c>
      <c r="O105" t="s">
        <v>58</v>
      </c>
      <c r="P105">
        <v>279.85500000000002</v>
      </c>
      <c r="Q105">
        <v>280.85500000000002</v>
      </c>
      <c r="R105">
        <v>280.35500000000002</v>
      </c>
      <c r="S105">
        <f t="shared" si="3"/>
        <v>0.5</v>
      </c>
      <c r="V105" s="24">
        <v>263.23</v>
      </c>
    </row>
    <row r="106" spans="1:22">
      <c r="A106" t="s">
        <v>373</v>
      </c>
      <c r="B106">
        <v>10</v>
      </c>
      <c r="C106" t="s">
        <v>5</v>
      </c>
      <c r="D106" t="s">
        <v>124</v>
      </c>
      <c r="E106" t="s">
        <v>128</v>
      </c>
      <c r="F106">
        <v>16.556000000000001</v>
      </c>
      <c r="G106">
        <v>16.542999999999999</v>
      </c>
      <c r="I106" s="1" t="s">
        <v>251</v>
      </c>
      <c r="J106" s="1"/>
      <c r="K106" s="1"/>
      <c r="R106">
        <v>282.10000000000002</v>
      </c>
      <c r="S106">
        <f t="shared" si="3"/>
        <v>0</v>
      </c>
      <c r="V106" s="24">
        <f>265.6+0.61</f>
        <v>266.21000000000004</v>
      </c>
    </row>
    <row r="107" spans="1:22">
      <c r="A107" t="s">
        <v>373</v>
      </c>
      <c r="B107">
        <v>10</v>
      </c>
      <c r="C107" s="1" t="s">
        <v>5</v>
      </c>
      <c r="D107" t="s">
        <v>122</v>
      </c>
      <c r="E107" t="s">
        <v>128</v>
      </c>
      <c r="F107">
        <v>16.725999999999999</v>
      </c>
      <c r="G107">
        <v>16.721</v>
      </c>
      <c r="I107" s="1" t="s">
        <v>251</v>
      </c>
      <c r="J107" s="1"/>
      <c r="K107" s="1"/>
      <c r="R107">
        <v>287.39999999999998</v>
      </c>
      <c r="S107">
        <f t="shared" si="3"/>
        <v>0</v>
      </c>
      <c r="V107" s="27">
        <f>267.1+0.87</f>
        <v>267.97000000000003</v>
      </c>
    </row>
    <row r="108" spans="1:22">
      <c r="A108" t="s">
        <v>372</v>
      </c>
      <c r="B108">
        <v>1</v>
      </c>
      <c r="C108" t="s">
        <v>5</v>
      </c>
      <c r="D108" t="s">
        <v>103</v>
      </c>
      <c r="E108" t="s">
        <v>262</v>
      </c>
      <c r="F108">
        <v>17.3</v>
      </c>
      <c r="G108">
        <v>17.54</v>
      </c>
      <c r="I108" s="1" t="s">
        <v>357</v>
      </c>
      <c r="J108" s="1"/>
      <c r="K108" s="1"/>
      <c r="L108" t="s">
        <v>129</v>
      </c>
      <c r="M108" t="s">
        <v>117</v>
      </c>
      <c r="N108" t="s">
        <v>130</v>
      </c>
      <c r="P108">
        <v>285.61</v>
      </c>
      <c r="Q108">
        <v>291.46499999999997</v>
      </c>
      <c r="R108">
        <v>288.53800000000001</v>
      </c>
      <c r="S108">
        <f t="shared" si="3"/>
        <v>2.9274999999999807</v>
      </c>
      <c r="V108" s="12">
        <v>270.91000000000003</v>
      </c>
    </row>
    <row r="109" spans="1:22">
      <c r="A109" t="s">
        <v>373</v>
      </c>
      <c r="B109">
        <v>10</v>
      </c>
      <c r="C109" s="1" t="s">
        <v>5</v>
      </c>
      <c r="D109" t="s">
        <v>124</v>
      </c>
      <c r="E109" t="s">
        <v>131</v>
      </c>
      <c r="F109">
        <v>17.277000000000001</v>
      </c>
      <c r="G109">
        <v>17.234999999999999</v>
      </c>
      <c r="I109" s="1" t="s">
        <v>251</v>
      </c>
      <c r="J109" s="1"/>
      <c r="K109" s="1"/>
      <c r="R109">
        <v>292.2</v>
      </c>
      <c r="S109">
        <f t="shared" si="3"/>
        <v>0</v>
      </c>
      <c r="V109" s="12">
        <v>272.49</v>
      </c>
    </row>
    <row r="110" spans="1:22">
      <c r="A110" t="s">
        <v>372</v>
      </c>
      <c r="B110">
        <v>1</v>
      </c>
      <c r="C110" t="s">
        <v>5</v>
      </c>
      <c r="D110" t="s">
        <v>108</v>
      </c>
      <c r="E110" t="s">
        <v>263</v>
      </c>
      <c r="F110">
        <v>16.7</v>
      </c>
      <c r="G110">
        <f>AVERAGE(17.54, 16.38)</f>
        <v>16.96</v>
      </c>
      <c r="H110">
        <f>G110-16.38</f>
        <v>0.58000000000000185</v>
      </c>
      <c r="I110" s="1" t="s">
        <v>357</v>
      </c>
      <c r="J110" s="1"/>
      <c r="K110" s="1"/>
      <c r="L110" t="s">
        <v>132</v>
      </c>
      <c r="M110" t="s">
        <v>117</v>
      </c>
      <c r="N110" t="s">
        <v>133</v>
      </c>
      <c r="O110" t="s">
        <v>117</v>
      </c>
      <c r="P110">
        <v>292.20999999999998</v>
      </c>
      <c r="Q110">
        <v>295.20999999999998</v>
      </c>
      <c r="R110">
        <v>293.70999999999998</v>
      </c>
      <c r="S110">
        <f t="shared" si="3"/>
        <v>1.5</v>
      </c>
      <c r="V110" s="28">
        <f>275.2+0.61</f>
        <v>275.81</v>
      </c>
    </row>
    <row r="111" spans="1:22">
      <c r="A111" s="15" t="s">
        <v>371</v>
      </c>
      <c r="B111">
        <v>1</v>
      </c>
      <c r="C111" s="1" t="s">
        <v>5</v>
      </c>
      <c r="D111" t="s">
        <v>108</v>
      </c>
      <c r="E111" t="s">
        <v>258</v>
      </c>
      <c r="F111">
        <v>18.2</v>
      </c>
      <c r="G111">
        <v>17.95</v>
      </c>
      <c r="I111" s="1" t="s">
        <v>354</v>
      </c>
      <c r="J111" s="1"/>
      <c r="K111" s="1"/>
      <c r="L111" t="s">
        <v>134</v>
      </c>
      <c r="M111" t="s">
        <v>58</v>
      </c>
      <c r="N111" t="s">
        <v>133</v>
      </c>
      <c r="O111" t="s">
        <v>58</v>
      </c>
      <c r="P111">
        <v>293.05500000000001</v>
      </c>
      <c r="Q111">
        <v>294.55500000000001</v>
      </c>
      <c r="R111">
        <v>293.80500000000001</v>
      </c>
      <c r="S111">
        <f t="shared" si="3"/>
        <v>0.75</v>
      </c>
      <c r="V111" s="28">
        <f>278.2+0.86</f>
        <v>279.06</v>
      </c>
    </row>
    <row r="112" spans="1:22">
      <c r="A112" t="s">
        <v>373</v>
      </c>
      <c r="B112">
        <v>1</v>
      </c>
      <c r="C112" s="1" t="s">
        <v>5</v>
      </c>
      <c r="D112" t="s">
        <v>122</v>
      </c>
      <c r="E112" t="s">
        <v>131</v>
      </c>
      <c r="F112">
        <v>17.614999999999998</v>
      </c>
      <c r="G112">
        <v>17.533000000000001</v>
      </c>
      <c r="I112" s="1" t="s">
        <v>251</v>
      </c>
      <c r="J112" s="1"/>
      <c r="K112" s="1"/>
      <c r="R112">
        <v>296.5</v>
      </c>
      <c r="S112">
        <f t="shared" si="3"/>
        <v>0</v>
      </c>
      <c r="V112" s="28">
        <v>281.61</v>
      </c>
    </row>
    <row r="113" spans="1:22">
      <c r="A113" t="s">
        <v>372</v>
      </c>
      <c r="B113">
        <v>1</v>
      </c>
      <c r="C113" t="s">
        <v>5</v>
      </c>
      <c r="D113" t="s">
        <v>108</v>
      </c>
      <c r="E113" t="s">
        <v>260</v>
      </c>
      <c r="F113">
        <v>17.3</v>
      </c>
      <c r="G113">
        <f>17.54-(0.35*(17.54-16.69))</f>
        <v>17.2425</v>
      </c>
      <c r="I113" t="s">
        <v>357</v>
      </c>
      <c r="L113" t="s">
        <v>133</v>
      </c>
      <c r="M113" t="s">
        <v>117</v>
      </c>
      <c r="N113" t="s">
        <v>135</v>
      </c>
      <c r="P113">
        <v>295.20999999999998</v>
      </c>
      <c r="Q113">
        <v>300.80500000000001</v>
      </c>
      <c r="R113">
        <v>298.00799999999998</v>
      </c>
      <c r="S113">
        <f t="shared" si="3"/>
        <v>2.7975000000000136</v>
      </c>
      <c r="V113" s="28">
        <v>282.43</v>
      </c>
    </row>
    <row r="114" spans="1:22">
      <c r="A114" s="15" t="s">
        <v>371</v>
      </c>
      <c r="B114">
        <v>1</v>
      </c>
      <c r="C114" s="1" t="s">
        <v>5</v>
      </c>
      <c r="D114" t="s">
        <v>103</v>
      </c>
      <c r="E114" t="s">
        <v>264</v>
      </c>
      <c r="F114">
        <v>18.3</v>
      </c>
      <c r="G114" s="2">
        <f>18.056-(0.2*(18.056-17.74))</f>
        <v>17.992799999999999</v>
      </c>
      <c r="H114" s="2"/>
      <c r="I114" t="s">
        <v>354</v>
      </c>
      <c r="L114" t="s">
        <v>136</v>
      </c>
      <c r="M114" t="s">
        <v>58</v>
      </c>
      <c r="N114" t="s">
        <v>137</v>
      </c>
      <c r="O114" t="s">
        <v>58</v>
      </c>
      <c r="P114">
        <v>299.05500000000001</v>
      </c>
      <c r="Q114">
        <v>300.05500000000001</v>
      </c>
      <c r="R114">
        <v>299.55500000000001</v>
      </c>
      <c r="S114">
        <f t="shared" si="3"/>
        <v>0.5</v>
      </c>
      <c r="V114" s="12">
        <f>284.8+0.61</f>
        <v>285.41000000000003</v>
      </c>
    </row>
    <row r="115" spans="1:22">
      <c r="A115" t="s">
        <v>373</v>
      </c>
      <c r="B115" s="15">
        <v>10</v>
      </c>
      <c r="C115" s="1" t="s">
        <v>5</v>
      </c>
      <c r="D115" t="s">
        <v>124</v>
      </c>
      <c r="E115" t="s">
        <v>138</v>
      </c>
      <c r="F115">
        <v>18.280999999999999</v>
      </c>
      <c r="G115">
        <v>18.056000000000001</v>
      </c>
      <c r="I115" s="1" t="s">
        <v>251</v>
      </c>
      <c r="J115" s="1"/>
      <c r="K115" s="1"/>
      <c r="R115">
        <v>307</v>
      </c>
      <c r="S115">
        <f t="shared" si="3"/>
        <v>0</v>
      </c>
      <c r="V115" s="12">
        <v>288.33</v>
      </c>
    </row>
    <row r="116" spans="1:22">
      <c r="A116" t="s">
        <v>372</v>
      </c>
      <c r="B116">
        <v>1</v>
      </c>
      <c r="C116" t="s">
        <v>5</v>
      </c>
      <c r="D116" t="s">
        <v>108</v>
      </c>
      <c r="E116" t="s">
        <v>256</v>
      </c>
      <c r="F116">
        <v>18.5</v>
      </c>
      <c r="G116">
        <f>19.3-(0.57*(19.3-17.54))</f>
        <v>18.296800000000001</v>
      </c>
      <c r="I116" t="s">
        <v>357</v>
      </c>
      <c r="L116" t="s">
        <v>139</v>
      </c>
      <c r="M116" t="s">
        <v>117</v>
      </c>
      <c r="N116" t="s">
        <v>140</v>
      </c>
      <c r="P116">
        <v>304.51</v>
      </c>
      <c r="Q116">
        <v>309.83499999999998</v>
      </c>
      <c r="R116">
        <v>307.173</v>
      </c>
      <c r="S116">
        <f t="shared" si="3"/>
        <v>2.6624999999999943</v>
      </c>
      <c r="V116" s="12">
        <v>290.99</v>
      </c>
    </row>
    <row r="117" spans="1:22">
      <c r="A117" t="s">
        <v>372</v>
      </c>
      <c r="B117">
        <v>1</v>
      </c>
      <c r="C117" s="1" t="s">
        <v>5</v>
      </c>
      <c r="D117" t="s">
        <v>359</v>
      </c>
      <c r="E117" t="s">
        <v>265</v>
      </c>
      <c r="F117">
        <v>20.9</v>
      </c>
      <c r="G117">
        <f>AVERAGE(21.12, 19.3)</f>
        <v>20.21</v>
      </c>
      <c r="H117">
        <f>G117-19.3</f>
        <v>0.91000000000000014</v>
      </c>
      <c r="I117" t="s">
        <v>357</v>
      </c>
      <c r="L117" t="s">
        <v>140</v>
      </c>
      <c r="N117" t="s">
        <v>141</v>
      </c>
      <c r="O117" t="s">
        <v>142</v>
      </c>
      <c r="P117">
        <v>309.83499999999998</v>
      </c>
      <c r="Q117">
        <v>314.52999999999997</v>
      </c>
      <c r="R117">
        <v>312.18299999999999</v>
      </c>
      <c r="S117">
        <f t="shared" si="3"/>
        <v>2.3474999999999966</v>
      </c>
      <c r="V117" s="12">
        <v>293.39999999999998</v>
      </c>
    </row>
    <row r="118" spans="1:22">
      <c r="A118" s="15" t="s">
        <v>371</v>
      </c>
      <c r="B118">
        <v>1</v>
      </c>
      <c r="C118" t="s">
        <v>5</v>
      </c>
      <c r="D118" t="s">
        <v>108</v>
      </c>
      <c r="E118" t="s">
        <v>264</v>
      </c>
      <c r="F118">
        <v>19.2</v>
      </c>
      <c r="G118">
        <f>19.722-(0.7*(19.722-18.748))</f>
        <v>19.040200000000002</v>
      </c>
      <c r="I118" t="s">
        <v>354</v>
      </c>
      <c r="L118" t="s">
        <v>143</v>
      </c>
      <c r="M118" t="s">
        <v>58</v>
      </c>
      <c r="N118" t="s">
        <v>141</v>
      </c>
      <c r="O118" t="s">
        <v>58</v>
      </c>
      <c r="P118">
        <v>313.15499999999997</v>
      </c>
      <c r="Q118">
        <v>314.65499999999997</v>
      </c>
      <c r="R118">
        <v>313.90499999999997</v>
      </c>
      <c r="S118">
        <f t="shared" si="3"/>
        <v>0.75</v>
      </c>
      <c r="V118" s="12">
        <f>295.9+0.61</f>
        <v>296.51</v>
      </c>
    </row>
    <row r="119" spans="1:22">
      <c r="A119" t="s">
        <v>373</v>
      </c>
      <c r="B119" s="15">
        <v>10</v>
      </c>
      <c r="C119" s="1" t="s">
        <v>5</v>
      </c>
      <c r="D119" t="s">
        <v>122</v>
      </c>
      <c r="E119" t="s">
        <v>138</v>
      </c>
      <c r="F119">
        <v>18.780999999999999</v>
      </c>
      <c r="G119">
        <v>18.524000000000001</v>
      </c>
      <c r="I119" s="1" t="s">
        <v>251</v>
      </c>
      <c r="J119" s="1"/>
      <c r="K119" s="1"/>
      <c r="R119">
        <v>315</v>
      </c>
      <c r="S119">
        <f t="shared" si="3"/>
        <v>0</v>
      </c>
      <c r="V119" s="12">
        <f>298.9+0.81</f>
        <v>299.70999999999998</v>
      </c>
    </row>
    <row r="120" spans="1:22">
      <c r="A120" t="s">
        <v>372</v>
      </c>
      <c r="B120">
        <v>1</v>
      </c>
      <c r="C120" t="s">
        <v>5</v>
      </c>
      <c r="D120" t="s">
        <v>108</v>
      </c>
      <c r="E120" t="s">
        <v>266</v>
      </c>
      <c r="F120">
        <v>21.6</v>
      </c>
      <c r="I120" t="s">
        <v>357</v>
      </c>
      <c r="L120" t="s">
        <v>144</v>
      </c>
      <c r="M120" t="s">
        <v>145</v>
      </c>
      <c r="N120" t="s">
        <v>146</v>
      </c>
      <c r="P120">
        <v>317.55</v>
      </c>
      <c r="Q120">
        <v>319.67500000000001</v>
      </c>
      <c r="R120">
        <v>318.613</v>
      </c>
      <c r="S120">
        <f t="shared" si="3"/>
        <v>1.0625</v>
      </c>
      <c r="V120" s="12">
        <f>303.7+ 0.61</f>
        <v>304.31</v>
      </c>
    </row>
    <row r="121" spans="1:22">
      <c r="A121" t="s">
        <v>373</v>
      </c>
      <c r="B121" s="15">
        <v>10</v>
      </c>
      <c r="C121" s="1" t="s">
        <v>5</v>
      </c>
      <c r="D121" t="s">
        <v>124</v>
      </c>
      <c r="E121" t="s">
        <v>147</v>
      </c>
      <c r="F121">
        <v>19.047999999999998</v>
      </c>
      <c r="G121">
        <v>18.748000000000001</v>
      </c>
      <c r="I121" s="1" t="s">
        <v>251</v>
      </c>
      <c r="J121" s="1"/>
      <c r="K121" s="1"/>
      <c r="R121">
        <v>321.2</v>
      </c>
      <c r="S121">
        <f t="shared" si="3"/>
        <v>0</v>
      </c>
      <c r="V121" s="12">
        <f>308.2+0.61</f>
        <v>308.81</v>
      </c>
    </row>
    <row r="122" spans="1:22">
      <c r="A122" t="s">
        <v>373</v>
      </c>
      <c r="B122" s="15">
        <v>10</v>
      </c>
      <c r="C122" t="s">
        <v>5</v>
      </c>
      <c r="D122" t="s">
        <v>122</v>
      </c>
      <c r="E122" t="s">
        <v>147</v>
      </c>
      <c r="F122">
        <v>20.131</v>
      </c>
      <c r="G122">
        <v>19.722000000000001</v>
      </c>
      <c r="I122" s="1" t="s">
        <v>251</v>
      </c>
      <c r="J122" s="1"/>
      <c r="K122" s="1"/>
      <c r="R122">
        <v>334.6</v>
      </c>
      <c r="S122">
        <f t="shared" si="3"/>
        <v>0</v>
      </c>
      <c r="V122" s="12">
        <f>310+0.61</f>
        <v>310.61</v>
      </c>
    </row>
    <row r="123" spans="1:22">
      <c r="A123" t="s">
        <v>372</v>
      </c>
      <c r="B123">
        <v>1</v>
      </c>
      <c r="C123" s="1" t="s">
        <v>5</v>
      </c>
      <c r="D123" t="s">
        <v>103</v>
      </c>
      <c r="E123" t="s">
        <v>267</v>
      </c>
      <c r="F123">
        <v>23.8</v>
      </c>
      <c r="G123">
        <f>AVERAGE(22.44, 21.12)</f>
        <v>21.78</v>
      </c>
      <c r="H123">
        <f>G123-21.12</f>
        <v>0.66000000000000014</v>
      </c>
      <c r="I123" s="1" t="s">
        <v>357</v>
      </c>
      <c r="J123" s="1"/>
      <c r="K123" s="1"/>
      <c r="L123" t="s">
        <v>148</v>
      </c>
      <c r="N123" t="s">
        <v>149</v>
      </c>
      <c r="O123" t="s">
        <v>117</v>
      </c>
      <c r="P123">
        <v>338.87</v>
      </c>
      <c r="Q123">
        <v>339.61</v>
      </c>
      <c r="R123">
        <v>339.24</v>
      </c>
      <c r="S123">
        <f t="shared" si="3"/>
        <v>0.37000000000000455</v>
      </c>
      <c r="V123" s="12">
        <f>313+0.58</f>
        <v>313.58</v>
      </c>
    </row>
    <row r="124" spans="1:22">
      <c r="A124" t="s">
        <v>373</v>
      </c>
      <c r="B124" s="15">
        <v>10</v>
      </c>
      <c r="C124" s="1" t="s">
        <v>5</v>
      </c>
      <c r="D124" t="s">
        <v>124</v>
      </c>
      <c r="E124" t="s">
        <v>150</v>
      </c>
      <c r="F124">
        <v>20.518000000000001</v>
      </c>
      <c r="G124">
        <v>20.04</v>
      </c>
      <c r="I124" s="1" t="s">
        <v>251</v>
      </c>
      <c r="J124" s="1"/>
      <c r="K124" s="1"/>
      <c r="R124">
        <v>339.5</v>
      </c>
      <c r="S124">
        <f t="shared" si="3"/>
        <v>0</v>
      </c>
      <c r="V124" s="12">
        <f>316+0.43</f>
        <v>316.43</v>
      </c>
    </row>
    <row r="125" spans="1:22">
      <c r="A125" t="s">
        <v>372</v>
      </c>
      <c r="B125">
        <v>1</v>
      </c>
      <c r="C125" t="s">
        <v>5</v>
      </c>
      <c r="D125" t="s">
        <v>103</v>
      </c>
      <c r="E125" t="s">
        <v>268</v>
      </c>
      <c r="F125">
        <v>21.4</v>
      </c>
      <c r="G125">
        <f>21.12-(0.19*(21.12-19.3))</f>
        <v>20.7742</v>
      </c>
      <c r="I125" s="1" t="s">
        <v>357</v>
      </c>
      <c r="J125" s="1"/>
      <c r="K125" s="1"/>
      <c r="L125" t="s">
        <v>149</v>
      </c>
      <c r="M125" t="s">
        <v>117</v>
      </c>
      <c r="N125" t="s">
        <v>151</v>
      </c>
      <c r="O125" t="s">
        <v>117</v>
      </c>
      <c r="P125">
        <v>339.61</v>
      </c>
      <c r="Q125">
        <v>342.61</v>
      </c>
      <c r="R125">
        <v>341.11</v>
      </c>
      <c r="S125">
        <f t="shared" si="3"/>
        <v>1.5</v>
      </c>
      <c r="V125" s="12">
        <f>319+0.24</f>
        <v>319.24</v>
      </c>
    </row>
    <row r="126" spans="1:22">
      <c r="A126" t="s">
        <v>373</v>
      </c>
      <c r="B126" s="15">
        <v>10</v>
      </c>
      <c r="C126" s="1" t="s">
        <v>5</v>
      </c>
      <c r="D126" t="s">
        <v>122</v>
      </c>
      <c r="E126" t="s">
        <v>150</v>
      </c>
      <c r="F126">
        <v>20.725000000000001</v>
      </c>
      <c r="G126">
        <v>20.213000000000001</v>
      </c>
      <c r="I126" s="1" t="s">
        <v>251</v>
      </c>
      <c r="J126" s="1"/>
      <c r="K126" s="1"/>
      <c r="R126">
        <v>341.5</v>
      </c>
      <c r="S126">
        <f t="shared" si="3"/>
        <v>0</v>
      </c>
      <c r="V126" s="12">
        <f>319.6+0.62</f>
        <v>320.22000000000003</v>
      </c>
    </row>
    <row r="127" spans="1:22">
      <c r="A127" t="s">
        <v>373</v>
      </c>
      <c r="B127" s="15">
        <v>10</v>
      </c>
      <c r="C127" t="s">
        <v>5</v>
      </c>
      <c r="D127" t="s">
        <v>124</v>
      </c>
      <c r="E127" t="s">
        <v>152</v>
      </c>
      <c r="F127">
        <v>20.995999999999999</v>
      </c>
      <c r="G127">
        <v>20.439</v>
      </c>
      <c r="I127" s="1" t="s">
        <v>251</v>
      </c>
      <c r="J127" s="1"/>
      <c r="K127" s="1"/>
      <c r="R127">
        <v>343.7</v>
      </c>
      <c r="S127">
        <f t="shared" si="3"/>
        <v>0</v>
      </c>
      <c r="V127" s="12">
        <f>322.6+0.61</f>
        <v>323.21000000000004</v>
      </c>
    </row>
    <row r="128" spans="1:22">
      <c r="A128" t="s">
        <v>373</v>
      </c>
      <c r="B128" s="15">
        <v>10</v>
      </c>
      <c r="C128" s="1" t="s">
        <v>5</v>
      </c>
      <c r="D128" t="s">
        <v>122</v>
      </c>
      <c r="E128" t="s">
        <v>152</v>
      </c>
      <c r="F128">
        <v>21.32</v>
      </c>
      <c r="G128">
        <v>20.709</v>
      </c>
      <c r="I128" s="1" t="s">
        <v>251</v>
      </c>
      <c r="J128" s="1"/>
      <c r="K128" s="1"/>
      <c r="R128">
        <v>346.7</v>
      </c>
      <c r="S128">
        <f t="shared" si="3"/>
        <v>0</v>
      </c>
      <c r="V128" s="12">
        <f>325.6+0.61</f>
        <v>326.21000000000004</v>
      </c>
    </row>
    <row r="129" spans="1:22">
      <c r="A129" t="s">
        <v>373</v>
      </c>
      <c r="B129" s="15">
        <v>10</v>
      </c>
      <c r="C129" t="s">
        <v>5</v>
      </c>
      <c r="D129" t="s">
        <v>124</v>
      </c>
      <c r="E129" t="s">
        <v>153</v>
      </c>
      <c r="F129">
        <v>21.768000000000001</v>
      </c>
      <c r="G129">
        <v>21.082999999999998</v>
      </c>
      <c r="I129" s="1" t="s">
        <v>251</v>
      </c>
      <c r="J129" s="1"/>
      <c r="K129" s="1"/>
      <c r="R129">
        <v>349.8</v>
      </c>
      <c r="S129">
        <f t="shared" si="3"/>
        <v>0</v>
      </c>
      <c r="V129" s="12">
        <f>332.2+0.61</f>
        <v>332.81</v>
      </c>
    </row>
    <row r="130" spans="1:22">
      <c r="A130" t="s">
        <v>373</v>
      </c>
      <c r="B130" s="15">
        <v>10</v>
      </c>
      <c r="C130" s="1" t="s">
        <v>5</v>
      </c>
      <c r="D130" t="s">
        <v>122</v>
      </c>
      <c r="E130" t="s">
        <v>153</v>
      </c>
      <c r="F130">
        <v>21.859000000000002</v>
      </c>
      <c r="G130">
        <v>21.158999999999999</v>
      </c>
      <c r="I130" s="1" t="s">
        <v>251</v>
      </c>
      <c r="J130" s="1"/>
      <c r="K130" s="1"/>
      <c r="R130">
        <v>351.1</v>
      </c>
      <c r="S130">
        <f t="shared" ref="S130:S161" si="4">(Q130-P130)/2</f>
        <v>0</v>
      </c>
      <c r="V130" s="12">
        <f>333.7+0.61</f>
        <v>334.31</v>
      </c>
    </row>
    <row r="131" spans="1:22">
      <c r="A131" t="s">
        <v>373</v>
      </c>
      <c r="B131" s="15">
        <v>10</v>
      </c>
      <c r="C131" t="s">
        <v>5</v>
      </c>
      <c r="D131" t="s">
        <v>124</v>
      </c>
      <c r="E131" t="s">
        <v>154</v>
      </c>
      <c r="F131">
        <v>22.151</v>
      </c>
      <c r="G131">
        <v>21.402999999999999</v>
      </c>
      <c r="I131" s="1" t="s">
        <v>251</v>
      </c>
      <c r="J131" s="1"/>
      <c r="K131" s="1"/>
      <c r="R131">
        <v>351.8</v>
      </c>
      <c r="S131">
        <f t="shared" si="4"/>
        <v>0</v>
      </c>
      <c r="V131" s="12">
        <f>340.3+0.61</f>
        <v>340.91</v>
      </c>
    </row>
    <row r="132" spans="1:22">
      <c r="A132" t="s">
        <v>373</v>
      </c>
      <c r="B132" s="15">
        <v>10</v>
      </c>
      <c r="C132" s="1" t="s">
        <v>5</v>
      </c>
      <c r="D132" t="s">
        <v>122</v>
      </c>
      <c r="E132" t="s">
        <v>154</v>
      </c>
      <c r="F132">
        <v>22.248000000000001</v>
      </c>
      <c r="G132">
        <v>21.483000000000001</v>
      </c>
      <c r="I132" s="1" t="s">
        <v>251</v>
      </c>
      <c r="J132" s="1"/>
      <c r="K132" s="1"/>
      <c r="R132">
        <v>353.5</v>
      </c>
      <c r="S132">
        <f t="shared" si="4"/>
        <v>0</v>
      </c>
      <c r="V132" s="12">
        <f>346.3+0.61</f>
        <v>346.91</v>
      </c>
    </row>
    <row r="133" spans="1:22">
      <c r="A133" t="s">
        <v>373</v>
      </c>
      <c r="B133" s="15">
        <v>10</v>
      </c>
      <c r="C133" s="1" t="s">
        <v>5</v>
      </c>
      <c r="D133" t="s">
        <v>124</v>
      </c>
      <c r="E133" t="s">
        <v>155</v>
      </c>
      <c r="F133">
        <v>22.459</v>
      </c>
      <c r="G133">
        <v>21.658999999999999</v>
      </c>
      <c r="I133" s="1" t="s">
        <v>251</v>
      </c>
      <c r="J133" s="1"/>
      <c r="K133" s="1"/>
      <c r="R133">
        <v>358.4</v>
      </c>
      <c r="S133">
        <f t="shared" si="4"/>
        <v>0</v>
      </c>
      <c r="V133" s="12">
        <f>349.9+0.61</f>
        <v>350.51</v>
      </c>
    </row>
    <row r="134" spans="1:22">
      <c r="A134" t="s">
        <v>373</v>
      </c>
      <c r="B134" s="15">
        <v>10</v>
      </c>
      <c r="C134" t="s">
        <v>5</v>
      </c>
      <c r="D134" t="s">
        <v>122</v>
      </c>
      <c r="E134" t="s">
        <v>155</v>
      </c>
      <c r="F134">
        <v>22.492999999999999</v>
      </c>
      <c r="G134">
        <v>21.687999999999999</v>
      </c>
      <c r="I134" s="1" t="s">
        <v>251</v>
      </c>
      <c r="J134" s="1"/>
      <c r="K134" s="1"/>
      <c r="R134">
        <v>359</v>
      </c>
      <c r="S134">
        <f t="shared" si="4"/>
        <v>0</v>
      </c>
      <c r="V134" s="12">
        <f>352.9+0.61</f>
        <v>353.51</v>
      </c>
    </row>
    <row r="135" spans="1:22">
      <c r="A135" t="s">
        <v>373</v>
      </c>
      <c r="B135" s="15">
        <v>10</v>
      </c>
      <c r="C135" s="1" t="s">
        <v>5</v>
      </c>
      <c r="D135" t="s">
        <v>124</v>
      </c>
      <c r="E135" t="s">
        <v>156</v>
      </c>
      <c r="F135">
        <v>22.588000000000001</v>
      </c>
      <c r="G135">
        <v>21.766999999999999</v>
      </c>
      <c r="I135" s="1" t="s">
        <v>251</v>
      </c>
      <c r="J135" s="1"/>
      <c r="K135" s="1"/>
      <c r="R135">
        <v>359.9</v>
      </c>
      <c r="S135">
        <f t="shared" si="4"/>
        <v>0</v>
      </c>
      <c r="V135" s="12">
        <f>358+0.61</f>
        <v>358.61</v>
      </c>
    </row>
    <row r="136" spans="1:22">
      <c r="A136" t="s">
        <v>373</v>
      </c>
      <c r="B136" s="15">
        <v>10</v>
      </c>
      <c r="C136" t="s">
        <v>5</v>
      </c>
      <c r="D136" t="s">
        <v>122</v>
      </c>
      <c r="E136" t="s">
        <v>156</v>
      </c>
      <c r="F136">
        <v>22.75</v>
      </c>
      <c r="G136">
        <v>21.936</v>
      </c>
      <c r="I136" s="1" t="s">
        <v>251</v>
      </c>
      <c r="J136" s="1"/>
      <c r="K136" s="1"/>
      <c r="R136">
        <v>366</v>
      </c>
      <c r="S136">
        <f t="shared" si="4"/>
        <v>0</v>
      </c>
      <c r="V136" s="12">
        <f>364+0.61</f>
        <v>364.61</v>
      </c>
    </row>
    <row r="137" spans="1:22">
      <c r="A137" t="s">
        <v>373</v>
      </c>
      <c r="B137" s="15">
        <v>10</v>
      </c>
      <c r="C137" s="1" t="s">
        <v>5</v>
      </c>
      <c r="D137" t="s">
        <v>124</v>
      </c>
      <c r="E137" t="s">
        <v>157</v>
      </c>
      <c r="F137">
        <v>22.803999999999998</v>
      </c>
      <c r="G137">
        <v>21.992000000000001</v>
      </c>
      <c r="I137" s="1" t="s">
        <v>251</v>
      </c>
      <c r="J137" s="1"/>
      <c r="K137" s="1"/>
      <c r="R137">
        <v>371.3</v>
      </c>
      <c r="S137">
        <f t="shared" si="4"/>
        <v>0</v>
      </c>
      <c r="V137" s="26">
        <f>367.6+0.61</f>
        <v>368.21000000000004</v>
      </c>
    </row>
    <row r="138" spans="1:22">
      <c r="A138" t="s">
        <v>372</v>
      </c>
      <c r="B138">
        <v>1</v>
      </c>
      <c r="C138" s="1" t="s">
        <v>5</v>
      </c>
      <c r="D138" t="s">
        <v>103</v>
      </c>
      <c r="E138" t="s">
        <v>269</v>
      </c>
      <c r="F138">
        <v>22.8</v>
      </c>
      <c r="G138">
        <f>AVERAGE(22.96, 22.44)</f>
        <v>22.700000000000003</v>
      </c>
      <c r="H138">
        <f>G138-22.44</f>
        <v>0.26000000000000156</v>
      </c>
      <c r="I138" s="1" t="s">
        <v>357</v>
      </c>
      <c r="J138" s="1"/>
      <c r="K138" s="1"/>
      <c r="L138" t="s">
        <v>158</v>
      </c>
      <c r="M138" t="s">
        <v>117</v>
      </c>
      <c r="N138" t="s">
        <v>159</v>
      </c>
      <c r="O138" t="s">
        <v>117</v>
      </c>
      <c r="P138">
        <v>378.11</v>
      </c>
      <c r="Q138">
        <v>381.11</v>
      </c>
      <c r="R138">
        <v>379.61</v>
      </c>
      <c r="S138">
        <f t="shared" si="4"/>
        <v>1.5</v>
      </c>
      <c r="V138" s="12">
        <f>369.1+0.61</f>
        <v>369.71000000000004</v>
      </c>
    </row>
    <row r="139" spans="1:22">
      <c r="A139" t="s">
        <v>373</v>
      </c>
      <c r="B139">
        <v>1</v>
      </c>
      <c r="C139" t="s">
        <v>5</v>
      </c>
      <c r="D139" t="s">
        <v>122</v>
      </c>
      <c r="E139" t="s">
        <v>157</v>
      </c>
      <c r="F139">
        <v>23.068999999999999</v>
      </c>
      <c r="G139">
        <v>22.268000000000001</v>
      </c>
      <c r="I139" s="1" t="s">
        <v>251</v>
      </c>
      <c r="J139" s="1"/>
      <c r="K139" s="1"/>
      <c r="R139">
        <v>386.2</v>
      </c>
      <c r="S139">
        <f t="shared" si="4"/>
        <v>0</v>
      </c>
      <c r="V139" s="12">
        <f>370.6+0.61</f>
        <v>371.21000000000004</v>
      </c>
    </row>
    <row r="140" spans="1:22" ht="16">
      <c r="A140" t="s">
        <v>372</v>
      </c>
      <c r="B140">
        <v>1</v>
      </c>
      <c r="C140" s="1" t="s">
        <v>5</v>
      </c>
      <c r="D140" t="s">
        <v>108</v>
      </c>
      <c r="E140" t="s">
        <v>270</v>
      </c>
      <c r="F140">
        <v>23.2</v>
      </c>
      <c r="G140">
        <v>22.44</v>
      </c>
      <c r="I140" s="1" t="s">
        <v>356</v>
      </c>
      <c r="J140" s="1"/>
      <c r="K140" s="1"/>
      <c r="L140" t="s">
        <v>160</v>
      </c>
      <c r="M140" t="s">
        <v>145</v>
      </c>
      <c r="N140" t="s">
        <v>161</v>
      </c>
      <c r="O140" t="s">
        <v>162</v>
      </c>
      <c r="P140">
        <v>407.65</v>
      </c>
      <c r="Q140">
        <v>411.315</v>
      </c>
      <c r="R140">
        <v>409.483</v>
      </c>
      <c r="S140">
        <f t="shared" si="4"/>
        <v>1.8325000000000102</v>
      </c>
      <c r="V140" s="23">
        <f>372.1+0.61</f>
        <v>372.71000000000004</v>
      </c>
    </row>
    <row r="141" spans="1:22">
      <c r="A141" t="s">
        <v>368</v>
      </c>
      <c r="B141">
        <v>1</v>
      </c>
      <c r="C141" t="s">
        <v>5</v>
      </c>
      <c r="D141" t="s">
        <v>103</v>
      </c>
      <c r="E141" t="s">
        <v>271</v>
      </c>
      <c r="F141">
        <v>23.4</v>
      </c>
      <c r="G141" s="5"/>
      <c r="H141" s="5"/>
      <c r="L141" t="s">
        <v>163</v>
      </c>
      <c r="M141" t="s">
        <v>164</v>
      </c>
      <c r="N141" t="s">
        <v>165</v>
      </c>
      <c r="O141" t="s">
        <v>166</v>
      </c>
      <c r="P141">
        <v>425.92500000000001</v>
      </c>
      <c r="Q141">
        <v>430.46499999999997</v>
      </c>
      <c r="R141">
        <v>428.19499999999999</v>
      </c>
      <c r="S141">
        <f t="shared" si="4"/>
        <v>2.2699999999999818</v>
      </c>
      <c r="V141" s="12">
        <f>V140+1.5</f>
        <v>374.21000000000004</v>
      </c>
    </row>
    <row r="142" spans="1:22">
      <c r="A142" s="15" t="s">
        <v>371</v>
      </c>
      <c r="B142">
        <v>1</v>
      </c>
      <c r="C142" s="1" t="s">
        <v>5</v>
      </c>
      <c r="D142" t="s">
        <v>103</v>
      </c>
      <c r="E142" t="s">
        <v>272</v>
      </c>
      <c r="F142">
        <v>23.7</v>
      </c>
      <c r="G142" s="2">
        <v>22.8</v>
      </c>
      <c r="H142" s="2">
        <v>0.15</v>
      </c>
      <c r="I142" t="s">
        <v>354</v>
      </c>
      <c r="L142" t="s">
        <v>167</v>
      </c>
      <c r="M142" t="s">
        <v>168</v>
      </c>
      <c r="N142" t="s">
        <v>167</v>
      </c>
      <c r="O142" t="s">
        <v>169</v>
      </c>
      <c r="P142">
        <v>437.60500000000002</v>
      </c>
      <c r="Q142">
        <v>437.80500000000001</v>
      </c>
      <c r="R142">
        <v>437.70499999999998</v>
      </c>
      <c r="S142">
        <f t="shared" si="4"/>
        <v>9.9999999999994316E-2</v>
      </c>
      <c r="V142" s="12">
        <f>V141+1.5</f>
        <v>375.71000000000004</v>
      </c>
    </row>
    <row r="143" spans="1:22">
      <c r="A143" s="15" t="s">
        <v>371</v>
      </c>
      <c r="B143">
        <v>1</v>
      </c>
      <c r="C143" t="s">
        <v>5</v>
      </c>
      <c r="D143" t="s">
        <v>103</v>
      </c>
      <c r="E143" t="s">
        <v>273</v>
      </c>
      <c r="F143">
        <v>23.9</v>
      </c>
      <c r="G143" s="2">
        <f>AVERAGE(23.13, 22.82)</f>
        <v>22.975000000000001</v>
      </c>
      <c r="H143" s="2">
        <f>G143-22.82</f>
        <v>0.15500000000000114</v>
      </c>
      <c r="I143" t="s">
        <v>354</v>
      </c>
      <c r="L143" t="s">
        <v>170</v>
      </c>
      <c r="M143" t="s">
        <v>171</v>
      </c>
      <c r="N143" t="s">
        <v>170</v>
      </c>
      <c r="O143" t="s">
        <v>172</v>
      </c>
      <c r="P143">
        <v>440.08499999999998</v>
      </c>
      <c r="Q143">
        <v>440.20499999999998</v>
      </c>
      <c r="R143">
        <v>440.14499999999998</v>
      </c>
      <c r="S143">
        <f t="shared" si="4"/>
        <v>6.0000000000002274E-2</v>
      </c>
      <c r="V143" s="12">
        <f>377.3+0.61</f>
        <v>377.91</v>
      </c>
    </row>
    <row r="144" spans="1:22">
      <c r="A144" t="s">
        <v>373</v>
      </c>
      <c r="B144" s="15">
        <v>10</v>
      </c>
      <c r="C144" s="1" t="s">
        <v>5</v>
      </c>
      <c r="D144" t="s">
        <v>122</v>
      </c>
      <c r="E144" t="s">
        <v>173</v>
      </c>
      <c r="F144">
        <v>24.117999999999999</v>
      </c>
      <c r="G144">
        <v>23.295000000000002</v>
      </c>
      <c r="I144" s="1" t="s">
        <v>251</v>
      </c>
      <c r="J144" s="1"/>
      <c r="K144" s="1"/>
      <c r="R144">
        <v>462.6</v>
      </c>
      <c r="S144">
        <f t="shared" si="4"/>
        <v>0</v>
      </c>
      <c r="V144" s="12">
        <f>V143+1.5</f>
        <v>379.41</v>
      </c>
    </row>
    <row r="145" spans="1:22">
      <c r="A145" t="s">
        <v>368</v>
      </c>
      <c r="B145">
        <v>1</v>
      </c>
      <c r="C145" t="s">
        <v>5</v>
      </c>
      <c r="D145" t="s">
        <v>108</v>
      </c>
      <c r="E145" t="s">
        <v>271</v>
      </c>
      <c r="F145">
        <v>24.5</v>
      </c>
      <c r="G145" s="5"/>
      <c r="H145" s="5"/>
      <c r="L145" t="s">
        <v>174</v>
      </c>
      <c r="M145" t="s">
        <v>79</v>
      </c>
      <c r="N145" t="s">
        <v>175</v>
      </c>
      <c r="P145">
        <v>467.31</v>
      </c>
      <c r="Q145">
        <v>472.51</v>
      </c>
      <c r="R145">
        <v>469.91</v>
      </c>
      <c r="S145">
        <f t="shared" si="4"/>
        <v>2.5999999999999943</v>
      </c>
      <c r="V145" s="12">
        <f>V144+1.5</f>
        <v>380.91</v>
      </c>
    </row>
    <row r="146" spans="1:22" s="16" customFormat="1">
      <c r="A146" s="16" t="s">
        <v>373</v>
      </c>
      <c r="B146">
        <v>1</v>
      </c>
      <c r="C146" s="17" t="s">
        <v>5</v>
      </c>
      <c r="D146" s="16" t="s">
        <v>124</v>
      </c>
      <c r="E146" s="16" t="s">
        <v>176</v>
      </c>
      <c r="F146" s="16">
        <v>24.73</v>
      </c>
      <c r="G146" s="16">
        <v>23.962</v>
      </c>
      <c r="I146" s="17" t="s">
        <v>251</v>
      </c>
      <c r="J146" s="17"/>
      <c r="K146" s="17"/>
      <c r="R146" s="16">
        <v>472</v>
      </c>
      <c r="S146" s="16">
        <f t="shared" si="4"/>
        <v>0</v>
      </c>
      <c r="V146" s="12">
        <f>381.8+0.61</f>
        <v>382.41</v>
      </c>
    </row>
    <row r="147" spans="1:22">
      <c r="A147" t="s">
        <v>368</v>
      </c>
      <c r="B147">
        <v>1</v>
      </c>
      <c r="C147" s="1" t="s">
        <v>5</v>
      </c>
      <c r="D147" t="s">
        <v>108</v>
      </c>
      <c r="E147" t="s">
        <v>274</v>
      </c>
      <c r="F147">
        <v>25.5</v>
      </c>
      <c r="G147" s="2">
        <v>24.76</v>
      </c>
      <c r="H147" s="2"/>
      <c r="I147" t="s">
        <v>352</v>
      </c>
      <c r="L147" t="s">
        <v>177</v>
      </c>
      <c r="M147" t="s">
        <v>79</v>
      </c>
      <c r="N147" t="s">
        <v>178</v>
      </c>
      <c r="O147" t="s">
        <v>79</v>
      </c>
      <c r="P147">
        <v>478.41</v>
      </c>
      <c r="Q147">
        <v>489.51</v>
      </c>
      <c r="R147">
        <v>483.96</v>
      </c>
      <c r="S147">
        <f t="shared" si="4"/>
        <v>5.5499999999999829</v>
      </c>
      <c r="V147" s="12">
        <v>383.9</v>
      </c>
    </row>
    <row r="148" spans="1:22">
      <c r="A148" t="s">
        <v>373</v>
      </c>
      <c r="B148" s="15">
        <v>10</v>
      </c>
      <c r="C148" t="s">
        <v>5</v>
      </c>
      <c r="D148" t="s">
        <v>122</v>
      </c>
      <c r="E148" t="s">
        <v>179</v>
      </c>
      <c r="F148">
        <v>25.648</v>
      </c>
      <c r="G148">
        <v>24.984000000000002</v>
      </c>
      <c r="I148" s="1" t="s">
        <v>251</v>
      </c>
      <c r="J148" s="1"/>
      <c r="K148" s="1"/>
      <c r="R148">
        <v>500</v>
      </c>
      <c r="S148">
        <f t="shared" si="4"/>
        <v>0</v>
      </c>
      <c r="V148" s="12">
        <f>V147+1.5</f>
        <v>385.4</v>
      </c>
    </row>
    <row r="149" spans="1:22">
      <c r="A149" t="s">
        <v>373</v>
      </c>
      <c r="B149" s="15">
        <v>10</v>
      </c>
      <c r="C149" s="1" t="s">
        <v>5</v>
      </c>
      <c r="D149" t="s">
        <v>124</v>
      </c>
      <c r="E149" t="s">
        <v>180</v>
      </c>
      <c r="F149">
        <v>25.823</v>
      </c>
      <c r="G149">
        <v>25.099</v>
      </c>
      <c r="I149" s="1" t="s">
        <v>251</v>
      </c>
      <c r="J149" s="1"/>
      <c r="K149" s="1"/>
      <c r="R149">
        <v>509.35</v>
      </c>
      <c r="S149">
        <f t="shared" si="4"/>
        <v>0</v>
      </c>
      <c r="V149" s="12">
        <f>386.9+0.61</f>
        <v>387.51</v>
      </c>
    </row>
    <row r="150" spans="1:22">
      <c r="A150" s="15" t="s">
        <v>371</v>
      </c>
      <c r="B150">
        <v>1</v>
      </c>
      <c r="C150" t="s">
        <v>5</v>
      </c>
      <c r="D150" t="s">
        <v>103</v>
      </c>
      <c r="E150" t="s">
        <v>275</v>
      </c>
      <c r="F150">
        <v>26.1</v>
      </c>
      <c r="G150" s="2">
        <f>AVERAGE(26.84, 23.13)</f>
        <v>24.984999999999999</v>
      </c>
      <c r="H150" s="2">
        <f>G150-23.13</f>
        <v>1.8550000000000004</v>
      </c>
      <c r="I150" s="1" t="s">
        <v>354</v>
      </c>
      <c r="J150" s="1"/>
      <c r="K150" s="1"/>
      <c r="L150" t="s">
        <v>181</v>
      </c>
      <c r="M150" t="s">
        <v>182</v>
      </c>
      <c r="N150" t="s">
        <v>183</v>
      </c>
      <c r="P150">
        <v>518.94000000000005</v>
      </c>
      <c r="Q150">
        <v>521.02</v>
      </c>
      <c r="R150">
        <v>519.98</v>
      </c>
      <c r="S150">
        <f t="shared" si="4"/>
        <v>1.0399999999999636</v>
      </c>
      <c r="V150" s="12">
        <f>V149+1.5</f>
        <v>389.01</v>
      </c>
    </row>
    <row r="151" spans="1:22">
      <c r="A151" t="s">
        <v>372</v>
      </c>
      <c r="B151">
        <v>1</v>
      </c>
      <c r="C151" s="1" t="s">
        <v>5</v>
      </c>
      <c r="D151" t="s">
        <v>103</v>
      </c>
      <c r="E151" s="4" t="s">
        <v>355</v>
      </c>
      <c r="F151">
        <v>27</v>
      </c>
      <c r="G151">
        <f>AVERAGE(28.09, 26.93)</f>
        <v>27.509999999999998</v>
      </c>
      <c r="H151">
        <f>G151-26.93</f>
        <v>0.57999999999999829</v>
      </c>
      <c r="I151" s="1" t="s">
        <v>357</v>
      </c>
      <c r="J151" s="1"/>
      <c r="K151" s="1"/>
      <c r="L151" t="s">
        <v>184</v>
      </c>
      <c r="N151" t="s">
        <v>185</v>
      </c>
      <c r="O151" t="s">
        <v>45</v>
      </c>
      <c r="P151">
        <v>529.41999999999996</v>
      </c>
      <c r="Q151">
        <v>531.91999999999996</v>
      </c>
      <c r="R151">
        <v>530.66999999999996</v>
      </c>
      <c r="S151">
        <f t="shared" si="4"/>
        <v>1.25</v>
      </c>
      <c r="V151" s="12">
        <f>V150+1.5</f>
        <v>390.51</v>
      </c>
    </row>
    <row r="152" spans="1:22">
      <c r="A152" t="s">
        <v>368</v>
      </c>
      <c r="B152">
        <v>1</v>
      </c>
      <c r="C152" t="s">
        <v>5</v>
      </c>
      <c r="D152" t="s">
        <v>103</v>
      </c>
      <c r="E152" t="s">
        <v>276</v>
      </c>
      <c r="F152">
        <v>27.6</v>
      </c>
      <c r="G152" s="5"/>
      <c r="H152" s="5"/>
      <c r="L152" t="s">
        <v>186</v>
      </c>
      <c r="M152" t="s">
        <v>79</v>
      </c>
      <c r="N152" t="s">
        <v>187</v>
      </c>
      <c r="O152" t="s">
        <v>79</v>
      </c>
      <c r="P152">
        <v>533.21</v>
      </c>
      <c r="Q152">
        <v>540.21</v>
      </c>
      <c r="R152">
        <v>536.71</v>
      </c>
      <c r="S152">
        <f t="shared" si="4"/>
        <v>3.5</v>
      </c>
      <c r="V152" s="12">
        <v>392</v>
      </c>
    </row>
    <row r="153" spans="1:22">
      <c r="A153" t="s">
        <v>368</v>
      </c>
      <c r="B153">
        <v>1</v>
      </c>
      <c r="C153" s="1" t="s">
        <v>5</v>
      </c>
      <c r="D153" t="s">
        <v>103</v>
      </c>
      <c r="E153" t="s">
        <v>277</v>
      </c>
      <c r="F153">
        <v>27.7</v>
      </c>
      <c r="G153" s="5"/>
      <c r="H153" s="5"/>
      <c r="L153" t="s">
        <v>187</v>
      </c>
      <c r="M153" t="s">
        <v>79</v>
      </c>
      <c r="N153" t="s">
        <v>188</v>
      </c>
      <c r="O153" t="s">
        <v>79</v>
      </c>
      <c r="P153">
        <v>540.21</v>
      </c>
      <c r="Q153">
        <v>544.30999999999995</v>
      </c>
      <c r="R153">
        <v>542.26</v>
      </c>
      <c r="S153">
        <f t="shared" si="4"/>
        <v>2.0499999999999545</v>
      </c>
      <c r="V153" s="12">
        <f>V152+1.5</f>
        <v>393.5</v>
      </c>
    </row>
    <row r="154" spans="1:22">
      <c r="A154" t="s">
        <v>368</v>
      </c>
      <c r="B154">
        <v>1</v>
      </c>
      <c r="C154" t="s">
        <v>5</v>
      </c>
      <c r="D154" t="s">
        <v>108</v>
      </c>
      <c r="E154" t="s">
        <v>278</v>
      </c>
      <c r="F154">
        <v>27.7</v>
      </c>
      <c r="G154" s="2">
        <v>26.9</v>
      </c>
      <c r="H154" s="2"/>
      <c r="I154" t="s">
        <v>358</v>
      </c>
      <c r="L154" t="s">
        <v>187</v>
      </c>
      <c r="M154" t="s">
        <v>79</v>
      </c>
      <c r="N154" t="s">
        <v>188</v>
      </c>
      <c r="O154" t="s">
        <v>79</v>
      </c>
      <c r="P154">
        <v>540.21</v>
      </c>
      <c r="Q154">
        <v>544.30999999999995</v>
      </c>
      <c r="R154">
        <v>542.26</v>
      </c>
      <c r="S154">
        <f t="shared" si="4"/>
        <v>2.0499999999999545</v>
      </c>
      <c r="V154" s="12">
        <v>395</v>
      </c>
    </row>
    <row r="155" spans="1:22">
      <c r="A155" t="s">
        <v>373</v>
      </c>
      <c r="B155" s="15">
        <v>10</v>
      </c>
      <c r="C155" s="1" t="s">
        <v>5</v>
      </c>
      <c r="D155" t="s">
        <v>122</v>
      </c>
      <c r="E155" t="s">
        <v>189</v>
      </c>
      <c r="F155">
        <v>27.972000000000001</v>
      </c>
      <c r="G155">
        <v>27.439</v>
      </c>
      <c r="I155" s="1" t="s">
        <v>251</v>
      </c>
      <c r="J155" s="1"/>
      <c r="K155" s="1"/>
      <c r="R155">
        <v>546.20000000000005</v>
      </c>
      <c r="S155">
        <f t="shared" si="4"/>
        <v>0</v>
      </c>
      <c r="V155" s="12">
        <f>396.5+0.61</f>
        <v>397.11</v>
      </c>
    </row>
    <row r="156" spans="1:22">
      <c r="A156" t="s">
        <v>368</v>
      </c>
      <c r="B156">
        <v>1</v>
      </c>
      <c r="C156" t="s">
        <v>5</v>
      </c>
      <c r="D156" t="s">
        <v>108</v>
      </c>
      <c r="E156" t="s">
        <v>277</v>
      </c>
      <c r="F156">
        <v>28</v>
      </c>
      <c r="G156" s="5"/>
      <c r="H156" s="5"/>
      <c r="L156" t="s">
        <v>188</v>
      </c>
      <c r="M156" t="s">
        <v>79</v>
      </c>
      <c r="N156" t="s">
        <v>190</v>
      </c>
      <c r="P156">
        <v>544.30999999999995</v>
      </c>
      <c r="Q156">
        <v>550.39</v>
      </c>
      <c r="R156">
        <v>547.35</v>
      </c>
      <c r="S156">
        <f t="shared" si="4"/>
        <v>3.0400000000000205</v>
      </c>
      <c r="V156" s="12">
        <f>V155+1.5</f>
        <v>398.61</v>
      </c>
    </row>
    <row r="157" spans="1:22">
      <c r="A157" t="s">
        <v>368</v>
      </c>
      <c r="B157">
        <v>1</v>
      </c>
      <c r="C157" s="1" t="s">
        <v>5</v>
      </c>
      <c r="D157" t="s">
        <v>103</v>
      </c>
      <c r="E157" t="s">
        <v>279</v>
      </c>
      <c r="F157">
        <v>28.1</v>
      </c>
      <c r="G157" s="5"/>
      <c r="H157" s="5"/>
      <c r="I157" s="2"/>
      <c r="J157" s="2"/>
      <c r="K157" s="2"/>
      <c r="L157" t="s">
        <v>191</v>
      </c>
      <c r="M157" t="s">
        <v>79</v>
      </c>
      <c r="N157" t="s">
        <v>192</v>
      </c>
      <c r="O157" t="s">
        <v>79</v>
      </c>
      <c r="P157">
        <v>558.51</v>
      </c>
      <c r="Q157">
        <v>562.11</v>
      </c>
      <c r="R157">
        <v>560.30999999999995</v>
      </c>
      <c r="S157">
        <f t="shared" si="4"/>
        <v>1.8000000000000114</v>
      </c>
      <c r="V157" s="12">
        <f>V156+1.5</f>
        <v>400.11</v>
      </c>
    </row>
    <row r="158" spans="1:22">
      <c r="A158" t="s">
        <v>368</v>
      </c>
      <c r="B158">
        <v>1</v>
      </c>
      <c r="C158" t="s">
        <v>5</v>
      </c>
      <c r="D158" t="s">
        <v>103</v>
      </c>
      <c r="E158" t="s">
        <v>280</v>
      </c>
      <c r="F158">
        <v>28.1</v>
      </c>
      <c r="G158" s="5"/>
      <c r="H158" s="5"/>
      <c r="L158" t="s">
        <v>192</v>
      </c>
      <c r="M158" t="s">
        <v>79</v>
      </c>
      <c r="N158" t="s">
        <v>193</v>
      </c>
      <c r="O158" t="s">
        <v>79</v>
      </c>
      <c r="P158">
        <v>562.11</v>
      </c>
      <c r="Q158">
        <v>565.11</v>
      </c>
      <c r="R158">
        <v>563.61</v>
      </c>
      <c r="S158">
        <f t="shared" si="4"/>
        <v>1.5</v>
      </c>
      <c r="V158" s="12">
        <f>V157+1.5</f>
        <v>401.61</v>
      </c>
    </row>
    <row r="159" spans="1:22">
      <c r="A159" t="s">
        <v>372</v>
      </c>
      <c r="B159">
        <v>1</v>
      </c>
      <c r="C159" s="1" t="s">
        <v>5</v>
      </c>
      <c r="D159" t="s">
        <v>110</v>
      </c>
      <c r="E159" t="s">
        <v>281</v>
      </c>
      <c r="F159">
        <v>28.5</v>
      </c>
      <c r="G159">
        <v>28.09</v>
      </c>
      <c r="I159" t="s">
        <v>357</v>
      </c>
      <c r="L159" t="s">
        <v>194</v>
      </c>
      <c r="M159" t="s">
        <v>195</v>
      </c>
      <c r="N159" t="s">
        <v>196</v>
      </c>
      <c r="P159">
        <v>563.86</v>
      </c>
      <c r="Q159">
        <v>569.19000000000005</v>
      </c>
      <c r="R159">
        <v>566.52499999999998</v>
      </c>
      <c r="S159">
        <f t="shared" si="4"/>
        <v>2.6650000000000205</v>
      </c>
      <c r="V159" s="12">
        <f>V158+0.6</f>
        <v>402.21000000000004</v>
      </c>
    </row>
    <row r="160" spans="1:22">
      <c r="A160" t="s">
        <v>368</v>
      </c>
      <c r="B160">
        <v>1</v>
      </c>
      <c r="C160" t="s">
        <v>5</v>
      </c>
      <c r="D160" t="s">
        <v>103</v>
      </c>
      <c r="E160" t="s">
        <v>282</v>
      </c>
      <c r="F160">
        <v>28.2</v>
      </c>
      <c r="G160" s="5"/>
      <c r="H160" s="5"/>
      <c r="L160" t="s">
        <v>193</v>
      </c>
      <c r="M160" t="s">
        <v>79</v>
      </c>
      <c r="N160" t="s">
        <v>197</v>
      </c>
      <c r="O160" t="s">
        <v>79</v>
      </c>
      <c r="P160">
        <v>565.11</v>
      </c>
      <c r="Q160">
        <v>573.21</v>
      </c>
      <c r="R160">
        <v>569.16</v>
      </c>
      <c r="S160">
        <f t="shared" si="4"/>
        <v>4.0500000000000114</v>
      </c>
      <c r="V160" s="12">
        <v>403.1</v>
      </c>
    </row>
    <row r="161" spans="1:22">
      <c r="A161" t="s">
        <v>373</v>
      </c>
      <c r="B161" s="15">
        <v>10</v>
      </c>
      <c r="C161" s="1" t="s">
        <v>5</v>
      </c>
      <c r="D161" t="s">
        <v>124</v>
      </c>
      <c r="E161" t="s">
        <v>198</v>
      </c>
      <c r="F161">
        <v>28.283000000000001</v>
      </c>
      <c r="G161">
        <v>27.859000000000002</v>
      </c>
      <c r="I161" s="1" t="s">
        <v>251</v>
      </c>
      <c r="J161" s="1"/>
      <c r="K161" s="1"/>
      <c r="R161">
        <v>572.9</v>
      </c>
      <c r="S161">
        <f t="shared" si="4"/>
        <v>0</v>
      </c>
      <c r="V161" s="12">
        <f>V160+1.5</f>
        <v>404.6</v>
      </c>
    </row>
    <row r="162" spans="1:22">
      <c r="A162" t="s">
        <v>373</v>
      </c>
      <c r="B162" s="15">
        <v>10</v>
      </c>
      <c r="C162" t="s">
        <v>5</v>
      </c>
      <c r="D162" t="s">
        <v>122</v>
      </c>
      <c r="E162" t="s">
        <v>199</v>
      </c>
      <c r="F162">
        <v>28.745000000000001</v>
      </c>
      <c r="G162">
        <v>28.277999999999999</v>
      </c>
      <c r="I162" s="1" t="s">
        <v>251</v>
      </c>
      <c r="J162" s="1"/>
      <c r="K162" s="1"/>
      <c r="R162">
        <v>592</v>
      </c>
      <c r="S162">
        <f t="shared" ref="S162:S188" si="5">(Q162-P162)/2</f>
        <v>0</v>
      </c>
      <c r="V162" s="12">
        <f>405.2+0.45</f>
        <v>405.65</v>
      </c>
    </row>
    <row r="163" spans="1:22">
      <c r="A163" t="s">
        <v>373</v>
      </c>
      <c r="B163" s="15">
        <v>10</v>
      </c>
      <c r="C163" s="1" t="s">
        <v>5</v>
      </c>
      <c r="D163" t="s">
        <v>122</v>
      </c>
      <c r="E163" t="s">
        <v>200</v>
      </c>
      <c r="F163">
        <v>29.401</v>
      </c>
      <c r="G163">
        <v>29.477</v>
      </c>
      <c r="I163" s="1" t="s">
        <v>251</v>
      </c>
      <c r="J163" s="1"/>
      <c r="K163" s="1"/>
      <c r="R163">
        <v>600</v>
      </c>
      <c r="S163">
        <f t="shared" si="5"/>
        <v>0</v>
      </c>
      <c r="V163" s="12">
        <v>406.13</v>
      </c>
    </row>
    <row r="164" spans="1:22">
      <c r="A164" t="s">
        <v>368</v>
      </c>
      <c r="B164">
        <v>1</v>
      </c>
      <c r="C164" t="s">
        <v>5</v>
      </c>
      <c r="D164" t="s">
        <v>108</v>
      </c>
      <c r="E164" t="s">
        <v>280</v>
      </c>
      <c r="F164">
        <v>29.7</v>
      </c>
      <c r="G164" s="5"/>
      <c r="H164" s="5"/>
      <c r="I164" s="2"/>
      <c r="J164" s="2"/>
      <c r="K164" s="2"/>
      <c r="L164" t="s">
        <v>201</v>
      </c>
      <c r="M164" t="s">
        <v>79</v>
      </c>
      <c r="N164" t="s">
        <v>202</v>
      </c>
      <c r="O164" t="s">
        <v>79</v>
      </c>
      <c r="P164">
        <v>632.30999999999995</v>
      </c>
      <c r="Q164">
        <v>640.41</v>
      </c>
      <c r="R164">
        <v>636.36</v>
      </c>
      <c r="S164">
        <f t="shared" si="5"/>
        <v>4.0500000000000114</v>
      </c>
      <c r="V164" s="12">
        <f>406.1+0.41</f>
        <v>406.51000000000005</v>
      </c>
    </row>
    <row r="165" spans="1:22">
      <c r="A165" t="s">
        <v>368</v>
      </c>
      <c r="B165">
        <v>1</v>
      </c>
      <c r="C165" s="1" t="s">
        <v>5</v>
      </c>
      <c r="D165" t="s">
        <v>108</v>
      </c>
      <c r="E165" t="s">
        <v>283</v>
      </c>
      <c r="F165">
        <v>29.9</v>
      </c>
      <c r="G165" s="5"/>
      <c r="H165" s="5"/>
      <c r="L165" t="s">
        <v>203</v>
      </c>
      <c r="M165" t="s">
        <v>79</v>
      </c>
      <c r="N165" t="s">
        <v>204</v>
      </c>
      <c r="O165" t="s">
        <v>79</v>
      </c>
      <c r="P165">
        <v>658.21</v>
      </c>
      <c r="Q165">
        <v>659.71</v>
      </c>
      <c r="R165">
        <v>658.96</v>
      </c>
      <c r="S165">
        <f t="shared" si="5"/>
        <v>0.75</v>
      </c>
      <c r="V165" s="12">
        <f>406.1+0.59</f>
        <v>406.69</v>
      </c>
    </row>
    <row r="166" spans="1:22">
      <c r="A166" t="s">
        <v>368</v>
      </c>
      <c r="B166">
        <v>1</v>
      </c>
      <c r="C166" t="s">
        <v>5</v>
      </c>
      <c r="D166" t="s">
        <v>108</v>
      </c>
      <c r="E166" t="s">
        <v>276</v>
      </c>
      <c r="F166">
        <v>29.9</v>
      </c>
      <c r="G166" s="5"/>
      <c r="H166" s="5"/>
      <c r="L166" t="s">
        <v>205</v>
      </c>
      <c r="M166" t="s">
        <v>206</v>
      </c>
      <c r="N166" t="s">
        <v>207</v>
      </c>
      <c r="O166" t="s">
        <v>208</v>
      </c>
      <c r="P166">
        <v>658.24</v>
      </c>
      <c r="Q166">
        <v>680.37</v>
      </c>
      <c r="R166">
        <v>669.30499999999995</v>
      </c>
      <c r="S166">
        <f t="shared" si="5"/>
        <v>11.064999999999998</v>
      </c>
      <c r="V166" s="12">
        <f>406.1+0.61</f>
        <v>406.71000000000004</v>
      </c>
    </row>
    <row r="167" spans="1:22">
      <c r="A167" t="s">
        <v>368</v>
      </c>
      <c r="B167">
        <v>1</v>
      </c>
      <c r="C167" s="1" t="s">
        <v>5</v>
      </c>
      <c r="D167" t="s">
        <v>103</v>
      </c>
      <c r="E167" t="s">
        <v>284</v>
      </c>
      <c r="F167">
        <v>30</v>
      </c>
      <c r="G167" s="5"/>
      <c r="H167" s="5"/>
      <c r="L167" t="s">
        <v>209</v>
      </c>
      <c r="M167" t="s">
        <v>210</v>
      </c>
      <c r="N167" t="s">
        <v>211</v>
      </c>
      <c r="O167" t="s">
        <v>206</v>
      </c>
      <c r="P167">
        <v>688.58</v>
      </c>
      <c r="Q167">
        <v>696.84</v>
      </c>
      <c r="R167">
        <v>692.71</v>
      </c>
      <c r="S167">
        <f t="shared" si="5"/>
        <v>4.1299999999999955</v>
      </c>
      <c r="V167" s="12">
        <f>406.1+0.81</f>
        <v>406.91</v>
      </c>
    </row>
    <row r="168" spans="1:22">
      <c r="A168" t="s">
        <v>368</v>
      </c>
      <c r="B168">
        <v>1</v>
      </c>
      <c r="C168" t="s">
        <v>5</v>
      </c>
      <c r="D168" t="s">
        <v>108</v>
      </c>
      <c r="E168" t="s">
        <v>282</v>
      </c>
      <c r="F168">
        <v>30.4</v>
      </c>
      <c r="G168" s="5"/>
      <c r="H168" s="5"/>
      <c r="L168" t="s">
        <v>211</v>
      </c>
      <c r="M168" t="s">
        <v>206</v>
      </c>
      <c r="N168" t="s">
        <v>213</v>
      </c>
      <c r="O168" t="s">
        <v>79</v>
      </c>
      <c r="P168">
        <v>696.84</v>
      </c>
      <c r="Q168">
        <v>701.31</v>
      </c>
      <c r="R168">
        <v>699.07500000000005</v>
      </c>
      <c r="S168">
        <f t="shared" si="5"/>
        <v>2.2349999999999568</v>
      </c>
      <c r="V168" s="12">
        <f>406.1+1.21</f>
        <v>407.31</v>
      </c>
    </row>
    <row r="169" spans="1:22">
      <c r="A169" t="s">
        <v>368</v>
      </c>
      <c r="B169">
        <v>1</v>
      </c>
      <c r="C169" s="1" t="s">
        <v>5</v>
      </c>
      <c r="D169" t="s">
        <v>108</v>
      </c>
      <c r="E169" t="s">
        <v>279</v>
      </c>
      <c r="F169">
        <v>30.4</v>
      </c>
      <c r="G169" s="5"/>
      <c r="H169" s="5"/>
      <c r="I169" s="2"/>
      <c r="J169" s="2"/>
      <c r="K169" s="2"/>
      <c r="L169" t="s">
        <v>212</v>
      </c>
      <c r="N169" t="s">
        <v>214</v>
      </c>
      <c r="O169" t="s">
        <v>79</v>
      </c>
      <c r="P169">
        <v>702.20500000000004</v>
      </c>
      <c r="Q169">
        <v>707.91</v>
      </c>
      <c r="R169">
        <v>705.05799999999999</v>
      </c>
      <c r="S169">
        <f t="shared" si="5"/>
        <v>2.8524999999999636</v>
      </c>
      <c r="V169" s="12">
        <f>406.1+1.41</f>
        <v>407.51000000000005</v>
      </c>
    </row>
    <row r="170" spans="1:22">
      <c r="A170" t="s">
        <v>368</v>
      </c>
      <c r="B170">
        <v>1</v>
      </c>
      <c r="C170" t="s">
        <v>5</v>
      </c>
      <c r="D170" t="s">
        <v>108</v>
      </c>
      <c r="E170" t="s">
        <v>285</v>
      </c>
      <c r="F170">
        <v>30.4</v>
      </c>
      <c r="G170" s="5"/>
      <c r="H170" s="5"/>
      <c r="L170" t="s">
        <v>212</v>
      </c>
      <c r="N170" t="s">
        <v>214</v>
      </c>
      <c r="O170" t="s">
        <v>79</v>
      </c>
      <c r="P170">
        <v>702.20500000000004</v>
      </c>
      <c r="Q170">
        <v>707.91</v>
      </c>
      <c r="R170">
        <v>705.05799999999999</v>
      </c>
      <c r="S170">
        <f t="shared" si="5"/>
        <v>2.8524999999999636</v>
      </c>
      <c r="V170" s="12">
        <v>407.63</v>
      </c>
    </row>
    <row r="171" spans="1:22">
      <c r="A171" t="s">
        <v>373</v>
      </c>
      <c r="B171">
        <v>1</v>
      </c>
      <c r="C171" s="1" t="s">
        <v>5</v>
      </c>
      <c r="D171" t="s">
        <v>124</v>
      </c>
      <c r="E171" t="s">
        <v>215</v>
      </c>
      <c r="F171">
        <v>30.478999999999999</v>
      </c>
      <c r="G171">
        <v>30.591000000000001</v>
      </c>
      <c r="H171" s="2"/>
      <c r="I171" s="1" t="s">
        <v>251</v>
      </c>
      <c r="J171" s="1"/>
      <c r="K171" s="1"/>
      <c r="R171">
        <v>706.1</v>
      </c>
      <c r="S171">
        <f t="shared" si="5"/>
        <v>0</v>
      </c>
      <c r="V171" s="12">
        <f>407.6+0.41</f>
        <v>408.01000000000005</v>
      </c>
    </row>
    <row r="172" spans="1:22">
      <c r="A172" t="s">
        <v>368</v>
      </c>
      <c r="B172">
        <v>1</v>
      </c>
      <c r="C172" t="s">
        <v>5</v>
      </c>
      <c r="D172" t="s">
        <v>103</v>
      </c>
      <c r="E172" t="s">
        <v>286</v>
      </c>
      <c r="F172">
        <v>36</v>
      </c>
      <c r="G172" s="5"/>
      <c r="H172" s="5"/>
      <c r="L172" t="s">
        <v>216</v>
      </c>
      <c r="M172" t="s">
        <v>217</v>
      </c>
      <c r="N172" t="s">
        <v>218</v>
      </c>
      <c r="P172">
        <v>706.37</v>
      </c>
      <c r="Q172">
        <v>713.88</v>
      </c>
      <c r="R172">
        <v>710.125</v>
      </c>
      <c r="S172">
        <f t="shared" si="5"/>
        <v>3.7549999999999955</v>
      </c>
      <c r="V172" s="12">
        <v>408.2</v>
      </c>
    </row>
    <row r="173" spans="1:22">
      <c r="A173" s="15" t="s">
        <v>371</v>
      </c>
      <c r="B173">
        <v>1</v>
      </c>
      <c r="C173" s="1" t="s">
        <v>5</v>
      </c>
      <c r="D173" t="s">
        <v>108</v>
      </c>
      <c r="E173" t="s">
        <v>287</v>
      </c>
      <c r="F173">
        <v>31.1</v>
      </c>
      <c r="G173" s="2">
        <f>32.02-((32.02-29.62)*0.1)</f>
        <v>31.78</v>
      </c>
      <c r="H173" s="2"/>
      <c r="I173" t="s">
        <v>354</v>
      </c>
      <c r="L173" t="s">
        <v>219</v>
      </c>
      <c r="M173" t="s">
        <v>220</v>
      </c>
      <c r="N173" t="s">
        <v>221</v>
      </c>
      <c r="O173" t="s">
        <v>182</v>
      </c>
      <c r="P173">
        <v>710.08500000000004</v>
      </c>
      <c r="Q173">
        <v>711.54</v>
      </c>
      <c r="R173">
        <v>710.81299999999999</v>
      </c>
      <c r="S173">
        <f t="shared" si="5"/>
        <v>0.72749999999996362</v>
      </c>
      <c r="V173" s="12">
        <f>407.6+0.63</f>
        <v>408.23</v>
      </c>
    </row>
    <row r="174" spans="1:22">
      <c r="A174" t="s">
        <v>373</v>
      </c>
      <c r="B174">
        <v>1</v>
      </c>
      <c r="C174" t="s">
        <v>5</v>
      </c>
      <c r="D174" t="s">
        <v>122</v>
      </c>
      <c r="E174" t="s">
        <v>215</v>
      </c>
      <c r="F174">
        <v>30.939</v>
      </c>
      <c r="G174" s="2">
        <v>31.033999999999999</v>
      </c>
      <c r="H174" s="2"/>
      <c r="I174" s="1" t="s">
        <v>251</v>
      </c>
      <c r="J174" s="1"/>
      <c r="K174" s="1"/>
      <c r="R174">
        <v>729.9</v>
      </c>
      <c r="S174">
        <f t="shared" si="5"/>
        <v>0</v>
      </c>
      <c r="V174" s="12">
        <f>407.6+0.81</f>
        <v>408.41</v>
      </c>
    </row>
    <row r="175" spans="1:22">
      <c r="A175" s="15" t="s">
        <v>371</v>
      </c>
      <c r="B175">
        <v>1</v>
      </c>
      <c r="C175" t="s">
        <v>5</v>
      </c>
      <c r="D175" t="s">
        <v>103</v>
      </c>
      <c r="E175" t="s">
        <v>288</v>
      </c>
      <c r="F175">
        <v>31.3</v>
      </c>
      <c r="G175" s="2">
        <v>32.020000000000003</v>
      </c>
      <c r="H175" s="2"/>
      <c r="I175" t="s">
        <v>354</v>
      </c>
      <c r="L175" t="s">
        <v>222</v>
      </c>
      <c r="N175" t="s">
        <v>223</v>
      </c>
      <c r="O175" t="s">
        <v>224</v>
      </c>
      <c r="P175">
        <v>733.255</v>
      </c>
      <c r="Q175">
        <v>733.58500000000004</v>
      </c>
      <c r="R175">
        <v>733.42</v>
      </c>
      <c r="S175">
        <f t="shared" si="5"/>
        <v>0.16500000000002046</v>
      </c>
      <c r="V175" s="12">
        <f>407.6+1.21</f>
        <v>408.81</v>
      </c>
    </row>
    <row r="176" spans="1:22">
      <c r="A176" s="15" t="s">
        <v>371</v>
      </c>
      <c r="B176">
        <v>1</v>
      </c>
      <c r="C176" s="1" t="s">
        <v>5</v>
      </c>
      <c r="D176" t="s">
        <v>103</v>
      </c>
      <c r="E176" t="s">
        <v>289</v>
      </c>
      <c r="F176">
        <f>AVERAGE(32.92, 32.03)</f>
        <v>32.475000000000001</v>
      </c>
      <c r="G176" s="2">
        <f>AVERAGE(32.92, 32.02)</f>
        <v>32.47</v>
      </c>
      <c r="H176" s="2">
        <f>G176-32.02</f>
        <v>0.44999999999999574</v>
      </c>
      <c r="I176" t="s">
        <v>354</v>
      </c>
      <c r="L176" t="s">
        <v>222</v>
      </c>
      <c r="N176" t="s">
        <v>223</v>
      </c>
      <c r="O176" t="s">
        <v>224</v>
      </c>
      <c r="P176">
        <v>733.255</v>
      </c>
      <c r="Q176">
        <v>733.58500000000004</v>
      </c>
      <c r="R176">
        <v>733.42</v>
      </c>
      <c r="S176">
        <f t="shared" si="5"/>
        <v>0.16500000000002046</v>
      </c>
      <c r="V176" s="12">
        <f>407.6+1.41</f>
        <v>409.01000000000005</v>
      </c>
    </row>
    <row r="177" spans="1:22">
      <c r="A177" t="s">
        <v>373</v>
      </c>
      <c r="B177">
        <v>1</v>
      </c>
      <c r="C177" t="s">
        <v>5</v>
      </c>
      <c r="D177" t="s">
        <v>124</v>
      </c>
      <c r="E177" t="s">
        <v>225</v>
      </c>
      <c r="F177">
        <v>33.058</v>
      </c>
      <c r="G177">
        <v>33.156999999999996</v>
      </c>
      <c r="H177" s="2"/>
      <c r="I177" s="1" t="s">
        <v>251</v>
      </c>
      <c r="J177" s="1"/>
      <c r="K177" s="1"/>
      <c r="R177">
        <v>733.95</v>
      </c>
      <c r="S177">
        <f t="shared" si="5"/>
        <v>0</v>
      </c>
      <c r="V177" s="12">
        <f>V170+1.5</f>
        <v>409.13</v>
      </c>
    </row>
    <row r="178" spans="1:22">
      <c r="A178" t="s">
        <v>373</v>
      </c>
      <c r="B178">
        <v>1</v>
      </c>
      <c r="C178" t="s">
        <v>5</v>
      </c>
      <c r="D178" t="s">
        <v>122</v>
      </c>
      <c r="E178" t="s">
        <v>225</v>
      </c>
      <c r="F178">
        <v>33.545000000000002</v>
      </c>
      <c r="G178" s="2">
        <v>33.704999999999998</v>
      </c>
      <c r="H178" s="2"/>
      <c r="I178" s="1" t="s">
        <v>251</v>
      </c>
      <c r="J178" s="1"/>
      <c r="K178" s="1"/>
      <c r="R178">
        <v>740.7</v>
      </c>
      <c r="S178">
        <f t="shared" si="5"/>
        <v>0</v>
      </c>
      <c r="V178" s="12">
        <f>V171+1.5</f>
        <v>409.51000000000005</v>
      </c>
    </row>
    <row r="179" spans="1:22">
      <c r="A179" t="s">
        <v>368</v>
      </c>
      <c r="B179">
        <v>1</v>
      </c>
      <c r="C179" s="1" t="s">
        <v>5</v>
      </c>
      <c r="D179" t="s">
        <v>103</v>
      </c>
      <c r="E179" t="s">
        <v>290</v>
      </c>
      <c r="F179">
        <v>33.9</v>
      </c>
      <c r="G179" s="2">
        <v>34.1</v>
      </c>
      <c r="H179" s="2"/>
      <c r="I179" t="s">
        <v>250</v>
      </c>
      <c r="L179" t="s">
        <v>226</v>
      </c>
      <c r="N179" t="s">
        <v>227</v>
      </c>
      <c r="O179" t="s">
        <v>79</v>
      </c>
      <c r="P179">
        <v>742.99</v>
      </c>
      <c r="Q179">
        <v>746.41</v>
      </c>
      <c r="R179">
        <v>744.7</v>
      </c>
      <c r="S179">
        <f t="shared" si="5"/>
        <v>1.7099999999999795</v>
      </c>
      <c r="V179" s="12">
        <f>409.1+0.57</f>
        <v>409.67</v>
      </c>
    </row>
    <row r="180" spans="1:22">
      <c r="A180" t="s">
        <v>372</v>
      </c>
      <c r="B180">
        <v>1</v>
      </c>
      <c r="C180" t="s">
        <v>5</v>
      </c>
      <c r="D180" t="s">
        <v>103</v>
      </c>
      <c r="E180" t="s">
        <v>291</v>
      </c>
      <c r="F180">
        <v>34.299999999999997</v>
      </c>
      <c r="G180" s="2">
        <v>34.549999999999997</v>
      </c>
      <c r="H180" s="2"/>
      <c r="I180" s="1" t="s">
        <v>353</v>
      </c>
      <c r="J180" s="1"/>
      <c r="K180" s="1"/>
      <c r="L180" t="s">
        <v>226</v>
      </c>
      <c r="N180" t="s">
        <v>228</v>
      </c>
      <c r="P180">
        <v>742.99</v>
      </c>
      <c r="Q180">
        <v>752.38499999999999</v>
      </c>
      <c r="R180">
        <v>747.68799999999999</v>
      </c>
      <c r="S180">
        <f t="shared" si="5"/>
        <v>4.6974999999999909</v>
      </c>
      <c r="V180" s="12">
        <f>409.1+0.59</f>
        <v>409.69</v>
      </c>
    </row>
    <row r="181" spans="1:22">
      <c r="A181" t="s">
        <v>368</v>
      </c>
      <c r="B181">
        <v>1</v>
      </c>
      <c r="C181" t="s">
        <v>5</v>
      </c>
      <c r="D181" t="s">
        <v>108</v>
      </c>
      <c r="E181" s="3" t="s">
        <v>292</v>
      </c>
      <c r="F181">
        <v>34.5</v>
      </c>
      <c r="G181" s="2">
        <v>34.700000000000003</v>
      </c>
      <c r="H181" s="2"/>
      <c r="I181" t="s">
        <v>250</v>
      </c>
      <c r="L181" t="s">
        <v>229</v>
      </c>
      <c r="M181" t="s">
        <v>79</v>
      </c>
      <c r="N181" t="s">
        <v>228</v>
      </c>
      <c r="P181">
        <v>749.41</v>
      </c>
      <c r="Q181">
        <v>752.38499999999999</v>
      </c>
      <c r="R181">
        <v>750.89800000000002</v>
      </c>
      <c r="S181">
        <f t="shared" si="5"/>
        <v>1.4875000000000114</v>
      </c>
      <c r="V181" s="12">
        <f>V174+1.5</f>
        <v>409.91</v>
      </c>
    </row>
    <row r="182" spans="1:22">
      <c r="A182" t="s">
        <v>373</v>
      </c>
      <c r="B182">
        <v>1</v>
      </c>
      <c r="C182" s="1" t="s">
        <v>5</v>
      </c>
      <c r="D182" t="s">
        <v>124</v>
      </c>
      <c r="E182" t="s">
        <v>230</v>
      </c>
      <c r="F182">
        <v>34.655000000000001</v>
      </c>
      <c r="G182" s="2">
        <v>34.999000000000002</v>
      </c>
      <c r="H182" s="2"/>
      <c r="I182" s="1" t="s">
        <v>251</v>
      </c>
      <c r="J182" s="1"/>
      <c r="K182" s="1"/>
      <c r="R182">
        <v>772</v>
      </c>
      <c r="S182">
        <f t="shared" si="5"/>
        <v>0</v>
      </c>
      <c r="V182" s="12">
        <f>V175+1.5</f>
        <v>410.31</v>
      </c>
    </row>
    <row r="183" spans="1:22">
      <c r="A183" t="s">
        <v>368</v>
      </c>
      <c r="B183">
        <v>1</v>
      </c>
      <c r="C183" t="s">
        <v>5</v>
      </c>
      <c r="D183" t="s">
        <v>108</v>
      </c>
      <c r="E183" t="s">
        <v>286</v>
      </c>
      <c r="F183">
        <v>34.700000000000003</v>
      </c>
      <c r="G183" s="5"/>
      <c r="H183" s="5"/>
      <c r="L183" t="s">
        <v>231</v>
      </c>
      <c r="M183" t="s">
        <v>232</v>
      </c>
      <c r="N183" t="s">
        <v>233</v>
      </c>
      <c r="O183" t="s">
        <v>79</v>
      </c>
      <c r="P183">
        <v>752.38499999999999</v>
      </c>
      <c r="Q183">
        <v>754.51</v>
      </c>
      <c r="R183">
        <v>753.44799999999998</v>
      </c>
      <c r="S183">
        <f t="shared" si="5"/>
        <v>1.0625</v>
      </c>
      <c r="V183" s="12">
        <f>V177+1.5</f>
        <v>410.63</v>
      </c>
    </row>
    <row r="184" spans="1:22">
      <c r="A184" t="s">
        <v>373</v>
      </c>
      <c r="B184">
        <v>1</v>
      </c>
      <c r="C184" s="1" t="s">
        <v>5</v>
      </c>
      <c r="D184" t="s">
        <v>122</v>
      </c>
      <c r="E184" t="s">
        <v>230</v>
      </c>
      <c r="F184">
        <v>34.94</v>
      </c>
      <c r="G184">
        <v>35.293999999999997</v>
      </c>
      <c r="I184" t="s">
        <v>251</v>
      </c>
      <c r="R184">
        <v>781</v>
      </c>
      <c r="S184">
        <f t="shared" si="5"/>
        <v>0</v>
      </c>
      <c r="V184" s="12">
        <f>V178+1.5</f>
        <v>411.01000000000005</v>
      </c>
    </row>
    <row r="185" spans="1:22">
      <c r="A185" t="s">
        <v>368</v>
      </c>
      <c r="B185">
        <v>1</v>
      </c>
      <c r="C185" s="1" t="s">
        <v>5</v>
      </c>
      <c r="D185" t="s">
        <v>108</v>
      </c>
      <c r="E185" s="3" t="s">
        <v>290</v>
      </c>
      <c r="F185">
        <v>36</v>
      </c>
      <c r="G185" s="2">
        <v>35.700000000000003</v>
      </c>
      <c r="H185" s="2"/>
      <c r="I185" t="s">
        <v>250</v>
      </c>
      <c r="L185" t="s">
        <v>236</v>
      </c>
      <c r="M185" t="s">
        <v>79</v>
      </c>
      <c r="N185" t="s">
        <v>237</v>
      </c>
      <c r="O185" t="s">
        <v>79</v>
      </c>
      <c r="P185">
        <v>794.41</v>
      </c>
      <c r="Q185">
        <v>798.91</v>
      </c>
      <c r="R185">
        <v>796.66</v>
      </c>
      <c r="S185">
        <f t="shared" si="5"/>
        <v>2.25</v>
      </c>
      <c r="V185" s="12">
        <f>V172+3</f>
        <v>411.2</v>
      </c>
    </row>
    <row r="186" spans="1:22">
      <c r="A186" t="s">
        <v>368</v>
      </c>
      <c r="B186">
        <v>1</v>
      </c>
      <c r="C186" t="s">
        <v>5</v>
      </c>
      <c r="D186" t="s">
        <v>103</v>
      </c>
      <c r="E186" t="s">
        <v>293</v>
      </c>
      <c r="F186">
        <v>36</v>
      </c>
      <c r="G186" s="2">
        <v>35.75</v>
      </c>
      <c r="H186" s="2"/>
      <c r="I186" t="s">
        <v>250</v>
      </c>
      <c r="L186" t="s">
        <v>236</v>
      </c>
      <c r="M186" t="s">
        <v>79</v>
      </c>
      <c r="N186" t="s">
        <v>237</v>
      </c>
      <c r="O186" t="s">
        <v>79</v>
      </c>
      <c r="P186">
        <v>794.41</v>
      </c>
      <c r="Q186">
        <v>798.91</v>
      </c>
      <c r="R186">
        <v>796.66</v>
      </c>
      <c r="S186">
        <f t="shared" si="5"/>
        <v>2.25</v>
      </c>
      <c r="V186" s="12">
        <f>410.6+0.63</f>
        <v>411.23</v>
      </c>
    </row>
    <row r="187" spans="1:22">
      <c r="A187" t="s">
        <v>368</v>
      </c>
      <c r="B187">
        <v>1</v>
      </c>
      <c r="C187" s="1" t="s">
        <v>5</v>
      </c>
      <c r="D187" t="s">
        <v>108</v>
      </c>
      <c r="E187" t="s">
        <v>294</v>
      </c>
      <c r="F187">
        <v>36.1</v>
      </c>
      <c r="G187" s="2">
        <v>35</v>
      </c>
      <c r="H187" s="2"/>
      <c r="I187" t="s">
        <v>250</v>
      </c>
      <c r="L187" t="s">
        <v>237</v>
      </c>
      <c r="M187" t="s">
        <v>79</v>
      </c>
      <c r="N187" t="s">
        <v>238</v>
      </c>
      <c r="P187">
        <v>798.91</v>
      </c>
      <c r="Q187">
        <v>799.39</v>
      </c>
      <c r="R187">
        <v>799.15</v>
      </c>
      <c r="S187">
        <f t="shared" si="5"/>
        <v>0.24000000000000909</v>
      </c>
      <c r="V187" s="12">
        <f>410.6+0.8</f>
        <v>411.40000000000003</v>
      </c>
    </row>
    <row r="188" spans="1:22">
      <c r="A188" t="s">
        <v>373</v>
      </c>
      <c r="B188">
        <v>1</v>
      </c>
      <c r="C188" t="s">
        <v>5</v>
      </c>
      <c r="D188" t="s">
        <v>124</v>
      </c>
      <c r="E188" t="s">
        <v>363</v>
      </c>
      <c r="F188">
        <v>36.618000000000002</v>
      </c>
      <c r="G188">
        <v>35.706000000000003</v>
      </c>
      <c r="I188" t="s">
        <v>251</v>
      </c>
      <c r="L188" s="5">
        <v>36.051000000000002</v>
      </c>
      <c r="R188">
        <v>800</v>
      </c>
      <c r="S188">
        <f t="shared" si="5"/>
        <v>0</v>
      </c>
      <c r="V188" s="12">
        <f>410.6+1.21</f>
        <v>411.81</v>
      </c>
    </row>
    <row r="189" spans="1:22">
      <c r="A189" t="s">
        <v>373</v>
      </c>
      <c r="B189">
        <v>1</v>
      </c>
      <c r="D189" t="s">
        <v>301</v>
      </c>
      <c r="E189" t="s">
        <v>234</v>
      </c>
      <c r="F189">
        <v>35.343000000000004</v>
      </c>
      <c r="G189">
        <v>35.706000000000003</v>
      </c>
      <c r="I189" t="s">
        <v>251</v>
      </c>
      <c r="L189" s="5"/>
      <c r="R189">
        <v>807</v>
      </c>
      <c r="V189" s="12">
        <f>410.6+1.41</f>
        <v>412.01000000000005</v>
      </c>
    </row>
    <row r="190" spans="1:22">
      <c r="A190" s="15" t="s">
        <v>371</v>
      </c>
      <c r="B190">
        <v>1</v>
      </c>
      <c r="C190" s="1" t="s">
        <v>5</v>
      </c>
      <c r="D190" t="s">
        <v>103</v>
      </c>
      <c r="E190" t="s">
        <v>295</v>
      </c>
      <c r="F190">
        <v>35.9</v>
      </c>
      <c r="G190" s="2">
        <f>AVERAGE(34.44, 36.97)</f>
        <v>35.704999999999998</v>
      </c>
      <c r="H190">
        <f>G190-34.44</f>
        <v>1.2650000000000006</v>
      </c>
      <c r="I190" t="s">
        <v>351</v>
      </c>
      <c r="L190" t="s">
        <v>239</v>
      </c>
      <c r="M190" t="s">
        <v>182</v>
      </c>
      <c r="N190" t="s">
        <v>240</v>
      </c>
      <c r="P190">
        <v>815.64</v>
      </c>
      <c r="Q190">
        <v>818.17</v>
      </c>
      <c r="R190">
        <v>816.90499999999997</v>
      </c>
      <c r="S190">
        <f>(Q190-P190)/2</f>
        <v>1.2649999999999864</v>
      </c>
      <c r="V190" s="12">
        <f>412.1+0.03</f>
        <v>412.13</v>
      </c>
    </row>
    <row r="191" spans="1:22">
      <c r="A191" t="s">
        <v>368</v>
      </c>
      <c r="B191">
        <v>1</v>
      </c>
      <c r="C191" t="s">
        <v>5</v>
      </c>
      <c r="D191" t="s">
        <v>103</v>
      </c>
      <c r="E191" t="s">
        <v>296</v>
      </c>
      <c r="F191">
        <v>35.35</v>
      </c>
      <c r="G191" s="2">
        <v>35.75</v>
      </c>
      <c r="H191" s="2"/>
      <c r="I191" t="s">
        <v>250</v>
      </c>
      <c r="L191" t="s">
        <v>240</v>
      </c>
      <c r="N191" t="s">
        <v>241</v>
      </c>
      <c r="O191" t="s">
        <v>79</v>
      </c>
      <c r="P191">
        <v>818.17</v>
      </c>
      <c r="Q191">
        <v>821.61</v>
      </c>
      <c r="R191">
        <v>819.89</v>
      </c>
      <c r="S191">
        <f>(Q191-P191)/2</f>
        <v>1.7200000000000273</v>
      </c>
      <c r="V191" s="12">
        <f>412.1+0.42</f>
        <v>412.52000000000004</v>
      </c>
    </row>
    <row r="192" spans="1:22">
      <c r="A192" t="s">
        <v>373</v>
      </c>
      <c r="B192">
        <v>1</v>
      </c>
      <c r="C192" s="1"/>
      <c r="D192" t="s">
        <v>304</v>
      </c>
      <c r="E192" t="s">
        <v>235</v>
      </c>
      <c r="G192" s="2">
        <v>36.051000000000002</v>
      </c>
      <c r="H192" s="2"/>
      <c r="R192">
        <v>831</v>
      </c>
      <c r="V192" s="12">
        <f>412.1+0.59</f>
        <v>412.69</v>
      </c>
    </row>
    <row r="193" spans="1:22">
      <c r="A193" t="s">
        <v>368</v>
      </c>
      <c r="B193">
        <v>1</v>
      </c>
      <c r="C193" s="1" t="s">
        <v>5</v>
      </c>
      <c r="D193" t="s">
        <v>103</v>
      </c>
      <c r="E193" t="s">
        <v>297</v>
      </c>
      <c r="F193">
        <v>35.5</v>
      </c>
      <c r="G193" s="2">
        <v>35.9</v>
      </c>
      <c r="H193" s="2"/>
      <c r="I193" t="s">
        <v>250</v>
      </c>
      <c r="L193" t="s">
        <v>242</v>
      </c>
      <c r="M193" t="s">
        <v>79</v>
      </c>
      <c r="N193" t="s">
        <v>243</v>
      </c>
      <c r="O193" t="s">
        <v>79</v>
      </c>
      <c r="P193">
        <v>829.71</v>
      </c>
      <c r="Q193">
        <v>837.21</v>
      </c>
      <c r="R193">
        <v>833.46</v>
      </c>
      <c r="S193">
        <f>(Q193-P193)/2</f>
        <v>3.75</v>
      </c>
      <c r="V193" s="12">
        <f>412.1+0.61</f>
        <v>412.71000000000004</v>
      </c>
    </row>
    <row r="194" spans="1:22">
      <c r="A194" t="s">
        <v>368</v>
      </c>
      <c r="B194">
        <v>1</v>
      </c>
      <c r="C194" t="s">
        <v>5</v>
      </c>
      <c r="D194" t="s">
        <v>108</v>
      </c>
      <c r="E194" t="s">
        <v>297</v>
      </c>
      <c r="F194">
        <v>35.6</v>
      </c>
      <c r="G194" s="2">
        <v>36.5</v>
      </c>
      <c r="H194" s="2"/>
      <c r="I194" t="s">
        <v>250</v>
      </c>
      <c r="L194" t="s">
        <v>243</v>
      </c>
      <c r="M194" t="s">
        <v>79</v>
      </c>
      <c r="N194" t="s">
        <v>244</v>
      </c>
      <c r="O194" t="s">
        <v>79</v>
      </c>
      <c r="P194">
        <v>837.21</v>
      </c>
      <c r="Q194">
        <v>842.31</v>
      </c>
      <c r="R194">
        <v>839.76</v>
      </c>
      <c r="S194">
        <f>(Q194-P194)/2</f>
        <v>2.5499999999999545</v>
      </c>
      <c r="V194" s="12">
        <f>412.1+0.81</f>
        <v>412.91</v>
      </c>
    </row>
    <row r="195" spans="1:22">
      <c r="A195" t="s">
        <v>373</v>
      </c>
      <c r="B195">
        <v>1</v>
      </c>
      <c r="C195" s="1"/>
      <c r="D195" t="s">
        <v>301</v>
      </c>
      <c r="E195" t="s">
        <v>235</v>
      </c>
      <c r="G195" s="2">
        <v>36.700000000000003</v>
      </c>
      <c r="H195" s="2"/>
      <c r="R195">
        <v>844</v>
      </c>
      <c r="V195" s="12">
        <f>412.1+1.21</f>
        <v>413.31</v>
      </c>
    </row>
    <row r="196" spans="1:22">
      <c r="A196" t="s">
        <v>368</v>
      </c>
      <c r="B196">
        <v>1</v>
      </c>
      <c r="C196" s="1" t="s">
        <v>5</v>
      </c>
      <c r="D196" t="s">
        <v>108</v>
      </c>
      <c r="E196" s="3" t="s">
        <v>296</v>
      </c>
      <c r="F196">
        <v>36</v>
      </c>
      <c r="G196" s="2">
        <v>37</v>
      </c>
      <c r="H196" s="2"/>
      <c r="I196" t="s">
        <v>349</v>
      </c>
      <c r="L196" t="s">
        <v>245</v>
      </c>
      <c r="M196" t="s">
        <v>246</v>
      </c>
      <c r="N196" t="s">
        <v>247</v>
      </c>
      <c r="P196">
        <v>876.98</v>
      </c>
      <c r="Q196">
        <v>880.30499999999995</v>
      </c>
      <c r="R196">
        <v>878.64300000000003</v>
      </c>
      <c r="S196">
        <f>(Q196-P196)/2</f>
        <v>1.6624999999999659</v>
      </c>
      <c r="V196" s="12">
        <f>412.1+1.41</f>
        <v>413.51000000000005</v>
      </c>
    </row>
    <row r="197" spans="1:22">
      <c r="V197" s="12">
        <f>413.6+0.03</f>
        <v>413.63</v>
      </c>
    </row>
    <row r="198" spans="1:22">
      <c r="V198" s="12">
        <f>413.6+0.41</f>
        <v>414.01000000000005</v>
      </c>
    </row>
    <row r="199" spans="1:22">
      <c r="V199" s="12">
        <f>413.6+0.61</f>
        <v>414.21000000000004</v>
      </c>
    </row>
    <row r="200" spans="1:22">
      <c r="V200" s="12">
        <f>413.6+0.81</f>
        <v>414.41</v>
      </c>
    </row>
    <row r="201" spans="1:22">
      <c r="V201" s="12">
        <f>414.8+0.03</f>
        <v>414.83</v>
      </c>
    </row>
    <row r="202" spans="1:22">
      <c r="V202" s="12">
        <f>414.8+0.34</f>
        <v>415.14</v>
      </c>
    </row>
    <row r="272" spans="22:22">
      <c r="V272" s="18"/>
    </row>
    <row r="273" spans="22:22">
      <c r="V273" s="18"/>
    </row>
    <row r="274" spans="22:22">
      <c r="V274" s="18"/>
    </row>
    <row r="275" spans="22:22">
      <c r="V275" s="18"/>
    </row>
    <row r="276" spans="22:22">
      <c r="V276" s="18"/>
    </row>
    <row r="277" spans="22:22">
      <c r="V277" s="18"/>
    </row>
    <row r="278" spans="22:22">
      <c r="V278" s="18"/>
    </row>
    <row r="279" spans="22:22">
      <c r="V279" s="18"/>
    </row>
    <row r="280" spans="22:22">
      <c r="V280" s="18"/>
    </row>
    <row r="281" spans="22:22">
      <c r="V281" s="18"/>
    </row>
    <row r="282" spans="22:22">
      <c r="V282" s="18"/>
    </row>
    <row r="283" spans="22:22">
      <c r="V283" s="18"/>
    </row>
    <row r="284" spans="22:22">
      <c r="V284" s="18"/>
    </row>
    <row r="285" spans="22:22">
      <c r="V285" s="18"/>
    </row>
    <row r="286" spans="22:22">
      <c r="V286" s="18"/>
    </row>
    <row r="287" spans="22:22">
      <c r="V287" s="18"/>
    </row>
    <row r="288" spans="22:22">
      <c r="V288" s="18"/>
    </row>
    <row r="289" spans="22:22">
      <c r="V289" s="18"/>
    </row>
    <row r="290" spans="22:22">
      <c r="V290" s="18"/>
    </row>
    <row r="291" spans="22:22">
      <c r="V291" s="18"/>
    </row>
    <row r="292" spans="22:22">
      <c r="V292" s="18"/>
    </row>
    <row r="293" spans="22:22">
      <c r="V293" s="18"/>
    </row>
    <row r="294" spans="22:22">
      <c r="V294" s="18"/>
    </row>
    <row r="295" spans="22:22">
      <c r="V295" s="18"/>
    </row>
    <row r="296" spans="22:22">
      <c r="V296" s="18"/>
    </row>
    <row r="297" spans="22:22">
      <c r="V297" s="18"/>
    </row>
    <row r="298" spans="22:22">
      <c r="V298" s="18"/>
    </row>
    <row r="299" spans="22:22">
      <c r="V299" s="18"/>
    </row>
    <row r="300" spans="22:22">
      <c r="V300" s="18"/>
    </row>
    <row r="301" spans="22:22">
      <c r="V301" s="18"/>
    </row>
    <row r="302" spans="22:22">
      <c r="V302" s="18"/>
    </row>
    <row r="303" spans="22:22">
      <c r="V303" s="18"/>
    </row>
    <row r="304" spans="22:22">
      <c r="V304" s="18"/>
    </row>
    <row r="305" spans="22:22">
      <c r="V305" s="18"/>
    </row>
    <row r="306" spans="22:22">
      <c r="V306" s="18"/>
    </row>
    <row r="307" spans="22:22">
      <c r="V307" s="18"/>
    </row>
    <row r="308" spans="22:22">
      <c r="V308" s="18"/>
    </row>
    <row r="309" spans="22:22">
      <c r="V309" s="18"/>
    </row>
    <row r="310" spans="22:22">
      <c r="V310" s="18"/>
    </row>
    <row r="311" spans="22:22">
      <c r="V311" s="18"/>
    </row>
    <row r="312" spans="22:22">
      <c r="V312" s="18"/>
    </row>
    <row r="313" spans="22:22">
      <c r="V313" s="18"/>
    </row>
    <row r="314" spans="22:22">
      <c r="V314" s="18"/>
    </row>
    <row r="315" spans="22:22">
      <c r="V315" s="18"/>
    </row>
    <row r="316" spans="22:22">
      <c r="V316" s="18"/>
    </row>
    <row r="317" spans="22:22">
      <c r="V317" s="18"/>
    </row>
    <row r="318" spans="22:22">
      <c r="V318" s="18"/>
    </row>
    <row r="319" spans="22:22">
      <c r="V319" s="18"/>
    </row>
    <row r="320" spans="22:22">
      <c r="V320" s="18"/>
    </row>
    <row r="321" spans="22:22">
      <c r="V321" s="18"/>
    </row>
    <row r="322" spans="22:22">
      <c r="V322" s="18"/>
    </row>
    <row r="323" spans="22:22">
      <c r="V323" s="18"/>
    </row>
    <row r="324" spans="22:22">
      <c r="V324" s="18"/>
    </row>
    <row r="325" spans="22:22">
      <c r="V325" s="18"/>
    </row>
    <row r="326" spans="22:22">
      <c r="V326" s="18"/>
    </row>
    <row r="327" spans="22:22">
      <c r="V327" s="18"/>
    </row>
    <row r="328" spans="22:22">
      <c r="V328" s="18"/>
    </row>
    <row r="329" spans="22:22">
      <c r="V329" s="18"/>
    </row>
    <row r="330" spans="22:22">
      <c r="V330" s="18"/>
    </row>
    <row r="331" spans="22:22">
      <c r="V331" s="18"/>
    </row>
    <row r="332" spans="22:22">
      <c r="V332" s="18"/>
    </row>
    <row r="333" spans="22:22">
      <c r="V333" s="18"/>
    </row>
    <row r="334" spans="22:22">
      <c r="V334" s="18"/>
    </row>
    <row r="335" spans="22:22">
      <c r="V335" s="18"/>
    </row>
    <row r="336" spans="22:22">
      <c r="V336" s="18"/>
    </row>
    <row r="337" spans="22:22">
      <c r="V337" s="18"/>
    </row>
    <row r="338" spans="22:22">
      <c r="V338" s="18"/>
    </row>
    <row r="339" spans="22:22">
      <c r="V339" s="18"/>
    </row>
    <row r="340" spans="22:22">
      <c r="V340" s="18"/>
    </row>
    <row r="341" spans="22:22">
      <c r="V341" s="18"/>
    </row>
    <row r="342" spans="22:22">
      <c r="V342" s="18"/>
    </row>
    <row r="343" spans="22:22">
      <c r="V343" s="18"/>
    </row>
    <row r="344" spans="22:22">
      <c r="V344" s="18"/>
    </row>
    <row r="345" spans="22:22">
      <c r="V345" s="18"/>
    </row>
    <row r="346" spans="22:22">
      <c r="V346" s="18"/>
    </row>
    <row r="347" spans="22:22">
      <c r="V347" s="18"/>
    </row>
    <row r="348" spans="22:22">
      <c r="V348" s="18"/>
    </row>
    <row r="349" spans="22:22">
      <c r="V349" s="18"/>
    </row>
    <row r="350" spans="22:22">
      <c r="V350" s="18"/>
    </row>
    <row r="351" spans="22:22">
      <c r="V351" s="18"/>
    </row>
    <row r="352" spans="22:22">
      <c r="V352" s="18"/>
    </row>
    <row r="353" spans="22:22">
      <c r="V353" s="18"/>
    </row>
    <row r="354" spans="22:22">
      <c r="V354" s="18"/>
    </row>
    <row r="355" spans="22:22">
      <c r="V355" s="18"/>
    </row>
    <row r="356" spans="22:22">
      <c r="V356" s="18"/>
    </row>
    <row r="357" spans="22:22">
      <c r="V357" s="18"/>
    </row>
    <row r="358" spans="22:22">
      <c r="V358" s="18"/>
    </row>
    <row r="359" spans="22:22">
      <c r="V359" s="18"/>
    </row>
    <row r="360" spans="22:22">
      <c r="V360" s="18"/>
    </row>
    <row r="361" spans="22:22">
      <c r="V361" s="18"/>
    </row>
    <row r="362" spans="22:22">
      <c r="V362" s="18"/>
    </row>
    <row r="363" spans="22:22">
      <c r="V363" s="18"/>
    </row>
    <row r="364" spans="22:22">
      <c r="V364" s="18"/>
    </row>
    <row r="365" spans="22:22">
      <c r="V365" s="18"/>
    </row>
    <row r="366" spans="22:22">
      <c r="V366" s="18"/>
    </row>
    <row r="367" spans="22:22">
      <c r="V367" s="18"/>
    </row>
    <row r="368" spans="22:22">
      <c r="V368" s="18"/>
    </row>
    <row r="369" spans="22:22">
      <c r="V369" s="18"/>
    </row>
    <row r="370" spans="22:22">
      <c r="V370" s="18"/>
    </row>
    <row r="371" spans="22:22">
      <c r="V371" s="18"/>
    </row>
    <row r="372" spans="22:22">
      <c r="V372" s="18"/>
    </row>
    <row r="373" spans="22:22">
      <c r="V373" s="18"/>
    </row>
    <row r="374" spans="22:22">
      <c r="V374" s="18"/>
    </row>
    <row r="375" spans="22:22">
      <c r="V375" s="18"/>
    </row>
    <row r="376" spans="22:22">
      <c r="V376" s="18"/>
    </row>
    <row r="377" spans="22:22">
      <c r="V377" s="18"/>
    </row>
    <row r="378" spans="22:22">
      <c r="V378" s="18"/>
    </row>
    <row r="379" spans="22:22">
      <c r="V379" s="18"/>
    </row>
    <row r="380" spans="22:22">
      <c r="V380" s="18"/>
    </row>
    <row r="381" spans="22:22">
      <c r="V381" s="18"/>
    </row>
    <row r="382" spans="22:22">
      <c r="V382" s="18"/>
    </row>
    <row r="383" spans="22:22">
      <c r="V383" s="18"/>
    </row>
    <row r="384" spans="22:22">
      <c r="V384" s="18"/>
    </row>
    <row r="385" spans="22:22">
      <c r="V385" s="18"/>
    </row>
    <row r="386" spans="22:22">
      <c r="V386" s="18"/>
    </row>
    <row r="387" spans="22:22">
      <c r="V387" s="18"/>
    </row>
    <row r="388" spans="22:22">
      <c r="V388" s="18"/>
    </row>
    <row r="389" spans="22:22">
      <c r="V389" s="18"/>
    </row>
    <row r="390" spans="22:22">
      <c r="V390" s="18"/>
    </row>
    <row r="391" spans="22:22">
      <c r="V391" s="18"/>
    </row>
    <row r="392" spans="22:22">
      <c r="V392" s="18"/>
    </row>
    <row r="393" spans="22:22">
      <c r="V393" s="18"/>
    </row>
    <row r="394" spans="22:22" ht="17">
      <c r="V394" s="19"/>
    </row>
    <row r="395" spans="22:22">
      <c r="V395" s="14"/>
    </row>
    <row r="396" spans="22:22">
      <c r="V396" s="18"/>
    </row>
    <row r="397" spans="22:22">
      <c r="V397" s="18"/>
    </row>
    <row r="398" spans="22:22">
      <c r="V398" s="18"/>
    </row>
    <row r="399" spans="22:22">
      <c r="V399" s="18"/>
    </row>
    <row r="400" spans="22:22">
      <c r="V400" s="18"/>
    </row>
    <row r="401" spans="22:22">
      <c r="V401" s="18"/>
    </row>
    <row r="402" spans="22:22">
      <c r="V402" s="18"/>
    </row>
    <row r="403" spans="22:22">
      <c r="V403" s="18"/>
    </row>
    <row r="404" spans="22:22">
      <c r="V404" s="18"/>
    </row>
    <row r="405" spans="22:22">
      <c r="V405" s="18"/>
    </row>
    <row r="406" spans="22:22">
      <c r="V406" s="18"/>
    </row>
    <row r="407" spans="22:22">
      <c r="V407" s="18"/>
    </row>
    <row r="408" spans="22:22">
      <c r="V408" s="14"/>
    </row>
    <row r="409" spans="22:22">
      <c r="V409" s="14"/>
    </row>
    <row r="410" spans="22:22">
      <c r="V410" s="14"/>
    </row>
    <row r="411" spans="22:22">
      <c r="V411" s="14"/>
    </row>
    <row r="412" spans="22:22">
      <c r="V412" s="14"/>
    </row>
    <row r="413" spans="22:22">
      <c r="V413" s="14"/>
    </row>
    <row r="414" spans="22:22">
      <c r="V414" s="14"/>
    </row>
    <row r="415" spans="22:22">
      <c r="V415" s="14"/>
    </row>
    <row r="416" spans="22:22">
      <c r="V416" s="14"/>
    </row>
    <row r="417" spans="22:22">
      <c r="V417" s="14"/>
    </row>
    <row r="418" spans="22:22">
      <c r="V418" s="18"/>
    </row>
    <row r="419" spans="22:22">
      <c r="V419" s="18"/>
    </row>
    <row r="420" spans="22:22">
      <c r="V420" s="18"/>
    </row>
    <row r="421" spans="22:22">
      <c r="V421" s="18"/>
    </row>
    <row r="422" spans="22:22">
      <c r="V422" s="18"/>
    </row>
    <row r="423" spans="22:22">
      <c r="V423" s="18"/>
    </row>
    <row r="424" spans="22:22">
      <c r="V424" s="18"/>
    </row>
    <row r="425" spans="22:22">
      <c r="V425" s="18"/>
    </row>
    <row r="426" spans="22:22" ht="16">
      <c r="V426" s="20"/>
    </row>
    <row r="427" spans="22:22" ht="16">
      <c r="V427" s="20"/>
    </row>
    <row r="428" spans="22:22" ht="16">
      <c r="V428" s="20"/>
    </row>
    <row r="429" spans="22:22" ht="16">
      <c r="V429" s="20"/>
    </row>
    <row r="430" spans="22:22">
      <c r="V430" s="14"/>
    </row>
    <row r="431" spans="22:22">
      <c r="V431" s="14"/>
    </row>
    <row r="432" spans="22:22">
      <c r="V432" s="14"/>
    </row>
    <row r="433" spans="22:22">
      <c r="V433" s="14"/>
    </row>
    <row r="434" spans="22:22">
      <c r="V434" s="14"/>
    </row>
    <row r="435" spans="22:22">
      <c r="V435" s="14"/>
    </row>
    <row r="436" spans="22:22">
      <c r="V436" s="14"/>
    </row>
    <row r="437" spans="22:22">
      <c r="V437" s="14"/>
    </row>
    <row r="438" spans="22:22">
      <c r="V438" s="14"/>
    </row>
    <row r="439" spans="22:22">
      <c r="V439" s="14"/>
    </row>
    <row r="440" spans="22:22">
      <c r="V440" s="14"/>
    </row>
    <row r="441" spans="22:22">
      <c r="V441" s="14"/>
    </row>
    <row r="442" spans="22:22">
      <c r="V442" s="14"/>
    </row>
    <row r="443" spans="22:22">
      <c r="V443" s="14"/>
    </row>
    <row r="444" spans="22:22">
      <c r="V444" s="14"/>
    </row>
    <row r="445" spans="22:22">
      <c r="V445" s="14"/>
    </row>
    <row r="446" spans="22:22">
      <c r="V446" s="14"/>
    </row>
    <row r="447" spans="22:22">
      <c r="V447" s="14"/>
    </row>
    <row r="448" spans="22:22">
      <c r="V448" s="14"/>
    </row>
    <row r="449" spans="22:22">
      <c r="V449" s="14"/>
    </row>
    <row r="450" spans="22:22">
      <c r="V450" s="14"/>
    </row>
    <row r="451" spans="22:22">
      <c r="V451" s="14"/>
    </row>
    <row r="452" spans="22:22">
      <c r="V452" s="14"/>
    </row>
    <row r="453" spans="22:22">
      <c r="V453" s="14"/>
    </row>
    <row r="454" spans="22:22">
      <c r="V454" s="14"/>
    </row>
    <row r="455" spans="22:22">
      <c r="V455" s="14"/>
    </row>
    <row r="456" spans="22:22">
      <c r="V456" s="14"/>
    </row>
    <row r="457" spans="22:22">
      <c r="V457" s="14"/>
    </row>
    <row r="458" spans="22:22">
      <c r="V458" s="14"/>
    </row>
    <row r="459" spans="22:22">
      <c r="V459" s="14"/>
    </row>
    <row r="460" spans="22:22">
      <c r="V460" s="14"/>
    </row>
    <row r="461" spans="22:22">
      <c r="V461" s="14"/>
    </row>
    <row r="462" spans="22:22">
      <c r="V462" s="14"/>
    </row>
    <row r="463" spans="22:22">
      <c r="V463" s="14"/>
    </row>
    <row r="464" spans="22:22">
      <c r="V464" s="14"/>
    </row>
    <row r="465" spans="22:22">
      <c r="V465" s="14"/>
    </row>
    <row r="466" spans="22:22">
      <c r="V466" s="14"/>
    </row>
    <row r="467" spans="22:22">
      <c r="V467" s="14"/>
    </row>
    <row r="468" spans="22:22">
      <c r="V468" s="14"/>
    </row>
    <row r="469" spans="22:22">
      <c r="V469" s="14"/>
    </row>
    <row r="470" spans="22:22">
      <c r="V470" s="14"/>
    </row>
    <row r="471" spans="22:22">
      <c r="V471" s="14"/>
    </row>
    <row r="472" spans="22:22">
      <c r="V472" s="14"/>
    </row>
    <row r="473" spans="22:22">
      <c r="V473" s="14"/>
    </row>
    <row r="474" spans="22:22">
      <c r="V474" s="14"/>
    </row>
    <row r="475" spans="22:22">
      <c r="V475" s="14"/>
    </row>
    <row r="476" spans="22:22">
      <c r="V476" s="14"/>
    </row>
    <row r="477" spans="22:22">
      <c r="V477" s="14"/>
    </row>
    <row r="478" spans="22:22">
      <c r="V478" s="14"/>
    </row>
    <row r="479" spans="22:22">
      <c r="V479" s="14"/>
    </row>
    <row r="480" spans="22:22">
      <c r="V480" s="14"/>
    </row>
    <row r="481" spans="22:22">
      <c r="V481" s="14"/>
    </row>
    <row r="482" spans="22:22">
      <c r="V482" s="14"/>
    </row>
    <row r="483" spans="22:22">
      <c r="V483" s="14"/>
    </row>
    <row r="484" spans="22:22">
      <c r="V484" s="14"/>
    </row>
    <row r="485" spans="22:22">
      <c r="V485" s="14"/>
    </row>
    <row r="486" spans="22:22">
      <c r="V486" s="14"/>
    </row>
    <row r="487" spans="22:22">
      <c r="V487" s="14"/>
    </row>
    <row r="488" spans="22:22">
      <c r="V488" s="14"/>
    </row>
    <row r="489" spans="22:22">
      <c r="V489" s="14"/>
    </row>
    <row r="490" spans="22:22">
      <c r="V490" s="14"/>
    </row>
    <row r="491" spans="22:22">
      <c r="V491" s="14"/>
    </row>
    <row r="492" spans="22:22">
      <c r="V492" s="14"/>
    </row>
    <row r="493" spans="22:22">
      <c r="V493" s="14"/>
    </row>
    <row r="494" spans="22:22">
      <c r="V494" s="14"/>
    </row>
    <row r="495" spans="22:22">
      <c r="V495" s="14"/>
    </row>
    <row r="496" spans="22:22">
      <c r="V496" s="14"/>
    </row>
    <row r="497" spans="22:22">
      <c r="V497" s="14"/>
    </row>
    <row r="498" spans="22:22">
      <c r="V498" s="14"/>
    </row>
    <row r="499" spans="22:22">
      <c r="V499" s="14"/>
    </row>
    <row r="500" spans="22:22">
      <c r="V500" s="14"/>
    </row>
    <row r="501" spans="22:22">
      <c r="V501" s="14"/>
    </row>
    <row r="502" spans="22:22">
      <c r="V502" s="14"/>
    </row>
    <row r="503" spans="22:22">
      <c r="V503" s="14"/>
    </row>
    <row r="504" spans="22:22">
      <c r="V504" s="14"/>
    </row>
    <row r="505" spans="22:22">
      <c r="V505" s="14"/>
    </row>
    <row r="506" spans="22:22">
      <c r="V506" s="14"/>
    </row>
    <row r="507" spans="22:22">
      <c r="V507" s="14"/>
    </row>
    <row r="508" spans="22:22">
      <c r="V508" s="14"/>
    </row>
    <row r="509" spans="22:22">
      <c r="V509" s="14"/>
    </row>
    <row r="510" spans="22:22">
      <c r="V510" s="14"/>
    </row>
    <row r="511" spans="22:22">
      <c r="V511" s="14"/>
    </row>
    <row r="512" spans="22:22">
      <c r="V512" s="14"/>
    </row>
    <row r="513" spans="22:22">
      <c r="V513" s="14"/>
    </row>
    <row r="514" spans="22:22">
      <c r="V514" s="14"/>
    </row>
    <row r="515" spans="22:22">
      <c r="V515" s="14"/>
    </row>
    <row r="516" spans="22:22">
      <c r="V516" s="14"/>
    </row>
    <row r="517" spans="22:22">
      <c r="V517" s="14"/>
    </row>
    <row r="518" spans="22:22">
      <c r="V518" s="14"/>
    </row>
    <row r="519" spans="22:22">
      <c r="V519" s="14"/>
    </row>
    <row r="520" spans="22:22">
      <c r="V520" s="14"/>
    </row>
    <row r="521" spans="22:22">
      <c r="V521" s="14"/>
    </row>
    <row r="522" spans="22:22">
      <c r="V522" s="14"/>
    </row>
    <row r="523" spans="22:22">
      <c r="V523" s="14"/>
    </row>
    <row r="524" spans="22:22">
      <c r="V524" s="14"/>
    </row>
    <row r="525" spans="22:22">
      <c r="V525" s="14"/>
    </row>
    <row r="526" spans="22:22">
      <c r="V526" s="14"/>
    </row>
    <row r="527" spans="22:22">
      <c r="V527" s="14"/>
    </row>
    <row r="528" spans="22:22">
      <c r="V528" s="14"/>
    </row>
    <row r="529" spans="22:22">
      <c r="V529" s="14"/>
    </row>
    <row r="530" spans="22:22">
      <c r="V530" s="14"/>
    </row>
    <row r="531" spans="22:22">
      <c r="V531" s="14"/>
    </row>
    <row r="532" spans="22:22">
      <c r="V532" s="14"/>
    </row>
    <row r="533" spans="22:22">
      <c r="V533" s="14"/>
    </row>
    <row r="534" spans="22:22">
      <c r="V534" s="14"/>
    </row>
    <row r="535" spans="22:22">
      <c r="V535" s="14"/>
    </row>
    <row r="536" spans="22:22">
      <c r="V536" s="14"/>
    </row>
    <row r="537" spans="22:22">
      <c r="V537" s="14"/>
    </row>
    <row r="538" spans="22:22">
      <c r="V538" s="14"/>
    </row>
    <row r="539" spans="22:22">
      <c r="V539" s="14"/>
    </row>
    <row r="540" spans="22:22">
      <c r="V540" s="14"/>
    </row>
    <row r="541" spans="22:22">
      <c r="V541" s="14"/>
    </row>
    <row r="542" spans="22:22">
      <c r="V542" s="14"/>
    </row>
    <row r="543" spans="22:22">
      <c r="V543" s="14"/>
    </row>
    <row r="544" spans="22:22">
      <c r="V544" s="14"/>
    </row>
    <row r="545" spans="22:22">
      <c r="V545" s="14"/>
    </row>
    <row r="546" spans="22:22">
      <c r="V546" s="14"/>
    </row>
    <row r="547" spans="22:22">
      <c r="V547" s="14"/>
    </row>
    <row r="548" spans="22:22">
      <c r="V548" s="14"/>
    </row>
    <row r="549" spans="22:22">
      <c r="V549" s="14"/>
    </row>
    <row r="550" spans="22:22">
      <c r="V550" s="14"/>
    </row>
    <row r="551" spans="22:22">
      <c r="V551" s="14"/>
    </row>
    <row r="552" spans="22:22">
      <c r="V552" s="14"/>
    </row>
    <row r="553" spans="22:22">
      <c r="V553" s="14"/>
    </row>
    <row r="554" spans="22:22">
      <c r="V554" s="14"/>
    </row>
    <row r="555" spans="22:22">
      <c r="V555" s="14"/>
    </row>
    <row r="556" spans="22:22">
      <c r="V556" s="14"/>
    </row>
    <row r="557" spans="22:22">
      <c r="V557" s="14"/>
    </row>
    <row r="558" spans="22:22">
      <c r="V558" s="14"/>
    </row>
    <row r="559" spans="22:22">
      <c r="V559" s="14"/>
    </row>
    <row r="560" spans="22:22">
      <c r="V560" s="14"/>
    </row>
    <row r="561" spans="22:22">
      <c r="V561" s="14"/>
    </row>
    <row r="562" spans="22:22">
      <c r="V562" s="14"/>
    </row>
    <row r="563" spans="22:22">
      <c r="V563" s="14"/>
    </row>
    <row r="564" spans="22:22">
      <c r="V564" s="14"/>
    </row>
    <row r="565" spans="22:22">
      <c r="V565" s="14"/>
    </row>
    <row r="566" spans="22:22">
      <c r="V566" s="14"/>
    </row>
    <row r="567" spans="22:22">
      <c r="V567" s="14"/>
    </row>
    <row r="568" spans="22:22">
      <c r="V568" s="14"/>
    </row>
    <row r="569" spans="22:22">
      <c r="V569" s="14"/>
    </row>
    <row r="570" spans="22:22">
      <c r="V570" s="14"/>
    </row>
    <row r="571" spans="22:22">
      <c r="V571" s="14"/>
    </row>
    <row r="572" spans="22:22">
      <c r="V572" s="14"/>
    </row>
    <row r="573" spans="22:22">
      <c r="V573" s="14"/>
    </row>
    <row r="574" spans="22:22">
      <c r="V574" s="14"/>
    </row>
    <row r="575" spans="22:22">
      <c r="V575" s="14"/>
    </row>
    <row r="576" spans="22:22">
      <c r="V576" s="14"/>
    </row>
    <row r="577" spans="22:22">
      <c r="V577" s="14"/>
    </row>
    <row r="578" spans="22:22">
      <c r="V578" s="14"/>
    </row>
    <row r="579" spans="22:22">
      <c r="V579" s="14"/>
    </row>
    <row r="580" spans="22:22">
      <c r="V580" s="14"/>
    </row>
    <row r="581" spans="22:22">
      <c r="V581" s="14"/>
    </row>
    <row r="582" spans="22:22">
      <c r="V582" s="14"/>
    </row>
    <row r="583" spans="22:22">
      <c r="V583" s="14"/>
    </row>
    <row r="584" spans="22:22">
      <c r="V584" s="14"/>
    </row>
    <row r="585" spans="22:22">
      <c r="V585" s="14"/>
    </row>
    <row r="586" spans="22:22">
      <c r="V586" s="14"/>
    </row>
    <row r="587" spans="22:22">
      <c r="V587" s="14"/>
    </row>
    <row r="588" spans="22:22">
      <c r="V588" s="14"/>
    </row>
    <row r="589" spans="22:22">
      <c r="V589" s="14"/>
    </row>
    <row r="590" spans="22:22">
      <c r="V590" s="14"/>
    </row>
    <row r="591" spans="22:22">
      <c r="V591" s="14"/>
    </row>
    <row r="592" spans="22:22">
      <c r="V592" s="14"/>
    </row>
    <row r="593" spans="22:22">
      <c r="V593" s="14"/>
    </row>
    <row r="594" spans="22:22">
      <c r="V594" s="14"/>
    </row>
    <row r="595" spans="22:22">
      <c r="V595" s="14"/>
    </row>
    <row r="596" spans="22:22">
      <c r="V596" s="14"/>
    </row>
    <row r="597" spans="22:22">
      <c r="V597" s="14"/>
    </row>
    <row r="598" spans="22:22">
      <c r="V598" s="14"/>
    </row>
    <row r="599" spans="22:22">
      <c r="V599" s="14"/>
    </row>
    <row r="600" spans="22:22">
      <c r="V600" s="14"/>
    </row>
    <row r="601" spans="22:22">
      <c r="V601" s="14"/>
    </row>
    <row r="602" spans="22:22">
      <c r="V602" s="14"/>
    </row>
    <row r="603" spans="22:22">
      <c r="V603" s="14"/>
    </row>
    <row r="604" spans="22:22">
      <c r="V604" s="14"/>
    </row>
    <row r="605" spans="22:22">
      <c r="V605" s="14"/>
    </row>
    <row r="606" spans="22:22">
      <c r="V606" s="14"/>
    </row>
    <row r="607" spans="22:22">
      <c r="V607" s="14"/>
    </row>
    <row r="608" spans="22:22">
      <c r="V608" s="14"/>
    </row>
    <row r="609" spans="22:22">
      <c r="V609" s="14"/>
    </row>
    <row r="610" spans="22:22">
      <c r="V610" s="14"/>
    </row>
    <row r="611" spans="22:22">
      <c r="V611" s="14"/>
    </row>
    <row r="612" spans="22:22">
      <c r="V612" s="14"/>
    </row>
    <row r="613" spans="22:22">
      <c r="V613" s="14"/>
    </row>
    <row r="614" spans="22:22">
      <c r="V614" s="14"/>
    </row>
    <row r="615" spans="22:22">
      <c r="V615" s="14"/>
    </row>
    <row r="616" spans="22:22">
      <c r="V616" s="14"/>
    </row>
    <row r="617" spans="22:22">
      <c r="V617" s="14"/>
    </row>
    <row r="618" spans="22:22">
      <c r="V618" s="14"/>
    </row>
    <row r="619" spans="22:22">
      <c r="V619" s="14"/>
    </row>
    <row r="620" spans="22:22">
      <c r="V620" s="14"/>
    </row>
    <row r="621" spans="22:22">
      <c r="V621" s="14"/>
    </row>
    <row r="622" spans="22:22">
      <c r="V622" s="14"/>
    </row>
    <row r="623" spans="22:22">
      <c r="V623" s="14"/>
    </row>
    <row r="624" spans="22:22">
      <c r="V624" s="14"/>
    </row>
    <row r="625" spans="22:22">
      <c r="V625" s="14"/>
    </row>
    <row r="626" spans="22:22">
      <c r="V626" s="14"/>
    </row>
    <row r="627" spans="22:22">
      <c r="V627" s="14"/>
    </row>
    <row r="628" spans="22:22">
      <c r="V628" s="14"/>
    </row>
    <row r="629" spans="22:22">
      <c r="V629" s="14"/>
    </row>
    <row r="630" spans="22:22">
      <c r="V630" s="14"/>
    </row>
    <row r="631" spans="22:22">
      <c r="V631" s="14"/>
    </row>
    <row r="632" spans="22:22">
      <c r="V632" s="14"/>
    </row>
    <row r="633" spans="22:22">
      <c r="V633" s="14"/>
    </row>
    <row r="634" spans="22:22">
      <c r="V634" s="14"/>
    </row>
    <row r="635" spans="22:22">
      <c r="V635" s="14"/>
    </row>
    <row r="636" spans="22:22">
      <c r="V636" s="14"/>
    </row>
    <row r="637" spans="22:22">
      <c r="V637" s="14"/>
    </row>
    <row r="638" spans="22:22">
      <c r="V638" s="14"/>
    </row>
    <row r="639" spans="22:22">
      <c r="V639" s="14"/>
    </row>
    <row r="640" spans="22:22">
      <c r="V640" s="14"/>
    </row>
    <row r="641" spans="22:22">
      <c r="V641" s="14"/>
    </row>
    <row r="642" spans="22:22">
      <c r="V642" s="14"/>
    </row>
    <row r="643" spans="22:22">
      <c r="V643" s="14"/>
    </row>
    <row r="644" spans="22:22">
      <c r="V644" s="14"/>
    </row>
    <row r="645" spans="22:22">
      <c r="V645" s="14"/>
    </row>
    <row r="646" spans="22:22">
      <c r="V646" s="14"/>
    </row>
    <row r="647" spans="22:22">
      <c r="V647" s="14"/>
    </row>
    <row r="648" spans="22:22">
      <c r="V648" s="14"/>
    </row>
    <row r="649" spans="22:22">
      <c r="V649" s="14"/>
    </row>
    <row r="650" spans="22:22">
      <c r="V650" s="14"/>
    </row>
    <row r="651" spans="22:22">
      <c r="V651" s="14"/>
    </row>
    <row r="652" spans="22:22">
      <c r="V652" s="14"/>
    </row>
    <row r="653" spans="22:22">
      <c r="V653" s="14"/>
    </row>
    <row r="654" spans="22:22">
      <c r="V654" s="14"/>
    </row>
    <row r="655" spans="22:22">
      <c r="V655" s="14"/>
    </row>
    <row r="656" spans="22:22">
      <c r="V656" s="14"/>
    </row>
    <row r="657" spans="22:22">
      <c r="V657" s="14"/>
    </row>
    <row r="658" spans="22:22">
      <c r="V658" s="14"/>
    </row>
    <row r="659" spans="22:22">
      <c r="V659" s="14"/>
    </row>
    <row r="660" spans="22:22">
      <c r="V660" s="14"/>
    </row>
    <row r="661" spans="22:22">
      <c r="V661" s="14"/>
    </row>
    <row r="662" spans="22:22">
      <c r="V662" s="14"/>
    </row>
    <row r="663" spans="22:22">
      <c r="V663" s="14"/>
    </row>
    <row r="664" spans="22:22">
      <c r="V664" s="14"/>
    </row>
    <row r="665" spans="22:22">
      <c r="V665" s="14"/>
    </row>
    <row r="666" spans="22:22">
      <c r="V666" s="14"/>
    </row>
    <row r="667" spans="22:22">
      <c r="V667" s="14"/>
    </row>
    <row r="668" spans="22:22">
      <c r="V668" s="14"/>
    </row>
    <row r="669" spans="22:22">
      <c r="V669" s="14"/>
    </row>
    <row r="670" spans="22:22">
      <c r="V670" s="14"/>
    </row>
    <row r="671" spans="22:22">
      <c r="V671" s="14"/>
    </row>
    <row r="672" spans="22:22">
      <c r="V672" s="14"/>
    </row>
    <row r="673" spans="22:22">
      <c r="V673" s="14"/>
    </row>
    <row r="674" spans="22:22">
      <c r="V674" s="14"/>
    </row>
    <row r="675" spans="22:22">
      <c r="V675" s="14"/>
    </row>
    <row r="676" spans="22:22">
      <c r="V676" s="14"/>
    </row>
    <row r="677" spans="22:22">
      <c r="V677" s="14"/>
    </row>
    <row r="678" spans="22:22">
      <c r="V678" s="14"/>
    </row>
    <row r="679" spans="22:22">
      <c r="V679" s="14"/>
    </row>
    <row r="680" spans="22:22">
      <c r="V680" s="14"/>
    </row>
    <row r="681" spans="22:22">
      <c r="V681" s="14"/>
    </row>
    <row r="682" spans="22:22">
      <c r="V682" s="14"/>
    </row>
    <row r="683" spans="22:22">
      <c r="V683" s="14"/>
    </row>
    <row r="684" spans="22:22">
      <c r="V684" s="14"/>
    </row>
    <row r="685" spans="22:22">
      <c r="V685" s="14"/>
    </row>
    <row r="686" spans="22:22">
      <c r="V686" s="14"/>
    </row>
    <row r="687" spans="22:22">
      <c r="V687" s="14"/>
    </row>
    <row r="688" spans="22:22">
      <c r="V688" s="14"/>
    </row>
    <row r="689" spans="22:22">
      <c r="V689" s="14"/>
    </row>
    <row r="690" spans="22:22">
      <c r="V690" s="14"/>
    </row>
    <row r="691" spans="22:22">
      <c r="V691" s="14"/>
    </row>
    <row r="692" spans="22:22">
      <c r="V692" s="14"/>
    </row>
    <row r="693" spans="22:22">
      <c r="V693" s="14"/>
    </row>
    <row r="694" spans="22:22">
      <c r="V694" s="14"/>
    </row>
    <row r="695" spans="22:22">
      <c r="V695" s="14"/>
    </row>
    <row r="696" spans="22:22">
      <c r="V696" s="14"/>
    </row>
    <row r="697" spans="22:22">
      <c r="V697" s="14"/>
    </row>
    <row r="698" spans="22:22">
      <c r="V698" s="14"/>
    </row>
    <row r="699" spans="22:22">
      <c r="V699" s="14"/>
    </row>
    <row r="700" spans="22:22">
      <c r="V700" s="14"/>
    </row>
    <row r="701" spans="22:22">
      <c r="V701" s="14"/>
    </row>
    <row r="702" spans="22:22">
      <c r="V702" s="14"/>
    </row>
    <row r="703" spans="22:22">
      <c r="V703" s="14"/>
    </row>
    <row r="704" spans="22:22">
      <c r="V704" s="14"/>
    </row>
    <row r="705" spans="22:22">
      <c r="V705" s="14"/>
    </row>
    <row r="706" spans="22:22">
      <c r="V706" s="14"/>
    </row>
    <row r="707" spans="22:22">
      <c r="V707" s="14"/>
    </row>
    <row r="708" spans="22:22">
      <c r="V708" s="14"/>
    </row>
    <row r="709" spans="22:22">
      <c r="V709" s="14"/>
    </row>
    <row r="710" spans="22:22">
      <c r="V710" s="14"/>
    </row>
    <row r="711" spans="22:22">
      <c r="V711" s="14"/>
    </row>
    <row r="712" spans="22:22">
      <c r="V712" s="14"/>
    </row>
    <row r="713" spans="22:22">
      <c r="V713" s="14"/>
    </row>
    <row r="714" spans="22:22">
      <c r="V714" s="14"/>
    </row>
    <row r="715" spans="22:22">
      <c r="V715" s="14"/>
    </row>
    <row r="716" spans="22:22">
      <c r="V716" s="14"/>
    </row>
    <row r="717" spans="22:22">
      <c r="V717" s="14"/>
    </row>
    <row r="718" spans="22:22">
      <c r="V718" s="14"/>
    </row>
    <row r="719" spans="22:22">
      <c r="V719" s="14"/>
    </row>
    <row r="720" spans="22:22">
      <c r="V720" s="14"/>
    </row>
    <row r="721" spans="22:22">
      <c r="V721" s="14"/>
    </row>
    <row r="722" spans="22:22">
      <c r="V722" s="14"/>
    </row>
    <row r="723" spans="22:22">
      <c r="V723" s="14"/>
    </row>
    <row r="724" spans="22:22">
      <c r="V724" s="14"/>
    </row>
    <row r="725" spans="22:22">
      <c r="V725" s="14"/>
    </row>
    <row r="726" spans="22:22">
      <c r="V726" s="14"/>
    </row>
    <row r="727" spans="22:22">
      <c r="V727" s="14"/>
    </row>
    <row r="728" spans="22:22">
      <c r="V728" s="14"/>
    </row>
    <row r="729" spans="22:22">
      <c r="V729" s="14"/>
    </row>
    <row r="730" spans="22:22">
      <c r="V730" s="14"/>
    </row>
    <row r="731" spans="22:22">
      <c r="V731" s="14"/>
    </row>
    <row r="732" spans="22:22">
      <c r="V732" s="14"/>
    </row>
    <row r="733" spans="22:22">
      <c r="V733" s="14"/>
    </row>
    <row r="734" spans="22:22">
      <c r="V734" s="14"/>
    </row>
    <row r="735" spans="22:22">
      <c r="V735" s="14"/>
    </row>
    <row r="736" spans="22:22">
      <c r="V736" s="14"/>
    </row>
    <row r="737" spans="22:22">
      <c r="V737" s="14"/>
    </row>
    <row r="738" spans="22:22">
      <c r="V738" s="14"/>
    </row>
    <row r="739" spans="22:22">
      <c r="V739" s="14"/>
    </row>
    <row r="740" spans="22:22">
      <c r="V740" s="14"/>
    </row>
    <row r="741" spans="22:22">
      <c r="V741" s="14"/>
    </row>
    <row r="742" spans="22:22">
      <c r="V742" s="14"/>
    </row>
    <row r="743" spans="22:22">
      <c r="V743" s="14"/>
    </row>
    <row r="744" spans="22:22">
      <c r="V744" s="14"/>
    </row>
    <row r="745" spans="22:22">
      <c r="V745" s="14"/>
    </row>
    <row r="746" spans="22:22">
      <c r="V746" s="14"/>
    </row>
    <row r="747" spans="22:22">
      <c r="V747" s="14"/>
    </row>
    <row r="748" spans="22:22">
      <c r="V748" s="14"/>
    </row>
    <row r="749" spans="22:22">
      <c r="V749" s="14"/>
    </row>
    <row r="750" spans="22:22">
      <c r="V750" s="14"/>
    </row>
    <row r="751" spans="22:22">
      <c r="V751" s="14"/>
    </row>
    <row r="752" spans="22:22">
      <c r="V752" s="14"/>
    </row>
    <row r="753" spans="22:22">
      <c r="V753" s="14"/>
    </row>
    <row r="754" spans="22:22">
      <c r="V754" s="14"/>
    </row>
    <row r="755" spans="22:22">
      <c r="V755" s="14"/>
    </row>
    <row r="756" spans="22:22">
      <c r="V756" s="14"/>
    </row>
    <row r="757" spans="22:22">
      <c r="V757" s="14"/>
    </row>
    <row r="758" spans="22:22">
      <c r="V758" s="14"/>
    </row>
    <row r="759" spans="22:22">
      <c r="V759" s="14"/>
    </row>
    <row r="760" spans="22:22">
      <c r="V760" s="14"/>
    </row>
    <row r="761" spans="22:22">
      <c r="V761" s="14"/>
    </row>
    <row r="762" spans="22:22">
      <c r="V762" s="14"/>
    </row>
    <row r="763" spans="22:22">
      <c r="V763" s="14"/>
    </row>
    <row r="764" spans="22:22">
      <c r="V764" s="14"/>
    </row>
    <row r="765" spans="22:22">
      <c r="V765" s="14"/>
    </row>
    <row r="766" spans="22:22">
      <c r="V766" s="14"/>
    </row>
    <row r="767" spans="22:22">
      <c r="V767" s="14"/>
    </row>
    <row r="768" spans="22:22">
      <c r="V768" s="14"/>
    </row>
    <row r="769" spans="22:22">
      <c r="V769" s="14"/>
    </row>
    <row r="770" spans="22:22">
      <c r="V770" s="14"/>
    </row>
    <row r="771" spans="22:22">
      <c r="V771" s="14"/>
    </row>
    <row r="772" spans="22:22">
      <c r="V772" s="14"/>
    </row>
    <row r="773" spans="22:22">
      <c r="V773" s="14"/>
    </row>
    <row r="774" spans="22:22">
      <c r="V774" s="14"/>
    </row>
    <row r="775" spans="22:22">
      <c r="V775" s="14"/>
    </row>
    <row r="776" spans="22:22">
      <c r="V776" s="14"/>
    </row>
    <row r="777" spans="22:22">
      <c r="V777" s="14"/>
    </row>
    <row r="778" spans="22:22">
      <c r="V778" s="14"/>
    </row>
    <row r="779" spans="22:22">
      <c r="V779" s="14"/>
    </row>
    <row r="780" spans="22:22">
      <c r="V780" s="14"/>
    </row>
    <row r="781" spans="22:22">
      <c r="V781" s="14"/>
    </row>
    <row r="782" spans="22:22">
      <c r="V782" s="14"/>
    </row>
    <row r="783" spans="22:22">
      <c r="V783" s="14"/>
    </row>
    <row r="784" spans="22:22">
      <c r="V784" s="14"/>
    </row>
    <row r="785" spans="22:22">
      <c r="V785" s="14"/>
    </row>
    <row r="786" spans="22:22">
      <c r="V786" s="14"/>
    </row>
    <row r="787" spans="22:22">
      <c r="V787" s="14"/>
    </row>
    <row r="788" spans="22:22">
      <c r="V788" s="14"/>
    </row>
    <row r="789" spans="22:22">
      <c r="V789" s="14"/>
    </row>
    <row r="790" spans="22:22">
      <c r="V790" s="14"/>
    </row>
    <row r="791" spans="22:22">
      <c r="V791" s="14"/>
    </row>
    <row r="792" spans="22:22">
      <c r="V792" s="14"/>
    </row>
    <row r="793" spans="22:22">
      <c r="V793" s="14"/>
    </row>
    <row r="794" spans="22:22">
      <c r="V794" s="14"/>
    </row>
    <row r="795" spans="22:22">
      <c r="V795" s="14"/>
    </row>
    <row r="796" spans="22:22">
      <c r="V796" s="14"/>
    </row>
    <row r="797" spans="22:22">
      <c r="V797" s="14"/>
    </row>
    <row r="798" spans="22:22">
      <c r="V798" s="14"/>
    </row>
    <row r="799" spans="22:22">
      <c r="V799" s="14"/>
    </row>
    <row r="800" spans="22:22">
      <c r="V800" s="14"/>
    </row>
    <row r="801" spans="22:22">
      <c r="V801" s="14"/>
    </row>
    <row r="802" spans="22:22">
      <c r="V802" s="14"/>
    </row>
    <row r="803" spans="22:22">
      <c r="V803" s="14"/>
    </row>
    <row r="804" spans="22:22">
      <c r="V804" s="14"/>
    </row>
    <row r="805" spans="22:22">
      <c r="V805" s="14"/>
    </row>
    <row r="806" spans="22:22">
      <c r="V806" s="14"/>
    </row>
    <row r="807" spans="22:22">
      <c r="V807" s="14"/>
    </row>
    <row r="808" spans="22:22">
      <c r="V808" s="14"/>
    </row>
    <row r="809" spans="22:22">
      <c r="V809" s="14"/>
    </row>
    <row r="810" spans="22:22">
      <c r="V810" s="14"/>
    </row>
    <row r="811" spans="22:22">
      <c r="V811" s="14"/>
    </row>
    <row r="812" spans="22:22">
      <c r="V812" s="14"/>
    </row>
    <row r="813" spans="22:22">
      <c r="V813" s="14"/>
    </row>
    <row r="814" spans="22:22">
      <c r="V814" s="14"/>
    </row>
    <row r="815" spans="22:22">
      <c r="V815" s="14"/>
    </row>
    <row r="816" spans="22:22">
      <c r="V816" s="14"/>
    </row>
    <row r="817" spans="22:22">
      <c r="V817" s="14"/>
    </row>
    <row r="818" spans="22:22">
      <c r="V818" s="14"/>
    </row>
    <row r="819" spans="22:22">
      <c r="V819" s="14"/>
    </row>
    <row r="820" spans="22:22">
      <c r="V820" s="14"/>
    </row>
    <row r="821" spans="22:22">
      <c r="V821" s="14"/>
    </row>
    <row r="822" spans="22:22">
      <c r="V822" s="14"/>
    </row>
    <row r="823" spans="22:22">
      <c r="V823" s="14"/>
    </row>
    <row r="824" spans="22:22">
      <c r="V824" s="14"/>
    </row>
    <row r="825" spans="22:22">
      <c r="V825" s="14"/>
    </row>
    <row r="826" spans="22:22">
      <c r="V826" s="14"/>
    </row>
    <row r="827" spans="22:22">
      <c r="V827" s="14"/>
    </row>
    <row r="828" spans="22:22">
      <c r="V828" s="14"/>
    </row>
    <row r="829" spans="22:22">
      <c r="V829" s="14"/>
    </row>
    <row r="830" spans="22:22">
      <c r="V830" s="14"/>
    </row>
    <row r="831" spans="22:22">
      <c r="V831" s="14"/>
    </row>
  </sheetData>
  <sortState xmlns:xlrd2="http://schemas.microsoft.com/office/spreadsheetml/2017/richdata2" ref="A1:S196">
    <sortCondition ref="R1:R196"/>
  </sortState>
  <phoneticPr fontId="5" type="noConversion"/>
  <conditionalFormatting sqref="V420:V429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Biomarine Sciences, Institute of Environmental Biology, Faculty of Science, Utrecht University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Bijl</dc:creator>
  <cp:lastModifiedBy>Microsoft Office User</cp:lastModifiedBy>
  <dcterms:created xsi:type="dcterms:W3CDTF">2019-06-03T07:01:53Z</dcterms:created>
  <dcterms:modified xsi:type="dcterms:W3CDTF">2022-07-18T13:19:39Z</dcterms:modified>
</cp:coreProperties>
</file>