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Choice-paper/Data/"/>
    </mc:Choice>
  </mc:AlternateContent>
  <xr:revisionPtr revIDLastSave="74" documentId="11_BE9CC011A3E38B5B1FD2EC04156FFAA729F7003E" xr6:coauthVersionLast="47" xr6:coauthVersionMax="47" xr10:uidLastSave="{A43C4B42-EB16-C24B-A33E-6543C607A312}"/>
  <bookViews>
    <workbookView xWindow="0" yWindow="0" windowWidth="33600" windowHeight="21000" activeTab="2" xr2:uid="{00000000-000D-0000-FFFF-FFFF00000000}"/>
  </bookViews>
  <sheets>
    <sheet name="CAPEX" sheetId="1" r:id="rId1"/>
    <sheet name="Electricity Price" sheetId="2" r:id="rId2"/>
    <sheet name="Tomato" sheetId="3" r:id="rId3"/>
    <sheet name="Strawberry" sheetId="4" r:id="rId4"/>
    <sheet name="Squash" sheetId="5" r:id="rId5"/>
    <sheet name="Energy Output" sheetId="6" r:id="rId6"/>
    <sheet name="Panel Spacing" sheetId="7" r:id="rId7"/>
    <sheet name="Panel Config" sheetId="8" r:id="rId8"/>
    <sheet name="PV system Cost (NREL)" sheetId="9" r:id="rId9"/>
    <sheet name="Energy Output Archived" sheetId="10" r:id="rId10"/>
  </sheets>
  <definedNames>
    <definedName name="_xlnm._FilterDatabase" localSheetId="5">'Energy Output'!$A$1:$H$337</definedName>
    <definedName name="_xlnm._FilterDatabase" localSheetId="9">'Energy Output Archived'!$B$1:$H$177</definedName>
    <definedName name="_xlnm._FilterDatabase" localSheetId="8">'PV system Cost (NREL)'!$A$1:$E$109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5" l="1"/>
  <c r="K23" i="5" s="1"/>
  <c r="S23" i="5" s="1"/>
  <c r="AA23" i="5" s="1"/>
  <c r="M23" i="5"/>
  <c r="N23" i="5"/>
  <c r="V23" i="5" s="1"/>
  <c r="AD23" i="5" s="1"/>
  <c r="O23" i="5"/>
  <c r="W23" i="5" s="1"/>
  <c r="AE23" i="5" s="1"/>
  <c r="P23" i="5"/>
  <c r="X23" i="5" s="1"/>
  <c r="AF23" i="5" s="1"/>
  <c r="Q23" i="5"/>
  <c r="Y23" i="5" s="1"/>
  <c r="AG23" i="5" s="1"/>
  <c r="R23" i="5"/>
  <c r="U23" i="5"/>
  <c r="AC23" i="5" s="1"/>
  <c r="Z23" i="5"/>
  <c r="AB23" i="4"/>
  <c r="I23" i="4"/>
  <c r="J23" i="4"/>
  <c r="K23" i="4"/>
  <c r="L23" i="4"/>
  <c r="M23" i="4"/>
  <c r="U23" i="4" s="1"/>
  <c r="AC23" i="4" s="1"/>
  <c r="N23" i="4"/>
  <c r="V23" i="4" s="1"/>
  <c r="AD23" i="4" s="1"/>
  <c r="O23" i="4"/>
  <c r="W23" i="4" s="1"/>
  <c r="AE23" i="4" s="1"/>
  <c r="P23" i="4"/>
  <c r="X23" i="4" s="1"/>
  <c r="AF23" i="4" s="1"/>
  <c r="Q23" i="4"/>
  <c r="R23" i="4"/>
  <c r="Z23" i="4" s="1"/>
  <c r="S23" i="4"/>
  <c r="AA23" i="4" s="1"/>
  <c r="T23" i="4"/>
  <c r="Y23" i="4"/>
  <c r="L23" i="3"/>
  <c r="M23" i="3"/>
  <c r="N23" i="3"/>
  <c r="O23" i="3"/>
  <c r="P23" i="3"/>
  <c r="X23" i="3" s="1"/>
  <c r="AF23" i="3" s="1"/>
  <c r="Q23" i="3"/>
  <c r="Y23" i="3" s="1"/>
  <c r="AG23" i="3" s="1"/>
  <c r="R23" i="3"/>
  <c r="S23" i="3" s="1"/>
  <c r="AA23" i="3" s="1"/>
  <c r="T23" i="3"/>
  <c r="AB23" i="3" s="1"/>
  <c r="U23" i="3"/>
  <c r="AC23" i="3" s="1"/>
  <c r="V23" i="3"/>
  <c r="AD23" i="3" s="1"/>
  <c r="W23" i="3"/>
  <c r="AE23" i="3" s="1"/>
  <c r="Z23" i="3"/>
  <c r="K23" i="3"/>
  <c r="K22" i="3"/>
  <c r="J23" i="3"/>
  <c r="L23" i="7"/>
  <c r="F23" i="7"/>
  <c r="D23" i="7"/>
  <c r="L22" i="7"/>
  <c r="F22" i="7"/>
  <c r="G22" i="7" s="1"/>
  <c r="D22" i="7"/>
  <c r="E22" i="7" s="1"/>
  <c r="L21" i="7"/>
  <c r="F21" i="7"/>
  <c r="D21" i="7"/>
  <c r="L20" i="7"/>
  <c r="F20" i="7"/>
  <c r="D20" i="7"/>
  <c r="E20" i="7" s="1"/>
  <c r="L19" i="7"/>
  <c r="F19" i="7"/>
  <c r="G19" i="7" s="1"/>
  <c r="M19" i="7" s="1"/>
  <c r="D19" i="7"/>
  <c r="E19" i="7" s="1"/>
  <c r="L18" i="7"/>
  <c r="F18" i="7"/>
  <c r="G18" i="7" s="1"/>
  <c r="D18" i="7"/>
  <c r="E18" i="7" s="1"/>
  <c r="L17" i="7"/>
  <c r="F17" i="7"/>
  <c r="G17" i="7" s="1"/>
  <c r="M17" i="7" s="1"/>
  <c r="D17" i="7"/>
  <c r="E17" i="7" s="1"/>
  <c r="L16" i="7"/>
  <c r="F16" i="7"/>
  <c r="D16" i="7"/>
  <c r="E16" i="7" s="1"/>
  <c r="L15" i="7"/>
  <c r="F15" i="7"/>
  <c r="D15" i="7"/>
  <c r="L14" i="7"/>
  <c r="F14" i="7"/>
  <c r="D14" i="7"/>
  <c r="E14" i="7" s="1"/>
  <c r="L13" i="7"/>
  <c r="F13" i="7"/>
  <c r="D13" i="7"/>
  <c r="E13" i="7" s="1"/>
  <c r="L12" i="7"/>
  <c r="F12" i="7"/>
  <c r="G12" i="7" s="1"/>
  <c r="M12" i="7" s="1"/>
  <c r="D12" i="7"/>
  <c r="L11" i="7"/>
  <c r="F11" i="7"/>
  <c r="G11" i="7" s="1"/>
  <c r="M11" i="7" s="1"/>
  <c r="D11" i="7"/>
  <c r="E11" i="7" s="1"/>
  <c r="L10" i="7"/>
  <c r="F10" i="7"/>
  <c r="G10" i="7" s="1"/>
  <c r="M10" i="7" s="1"/>
  <c r="D10" i="7"/>
  <c r="E10" i="7" s="1"/>
  <c r="L9" i="7"/>
  <c r="F9" i="7"/>
  <c r="D9" i="7"/>
  <c r="L8" i="7"/>
  <c r="F8" i="7"/>
  <c r="D8" i="7"/>
  <c r="E8" i="7" s="1"/>
  <c r="L7" i="7"/>
  <c r="F7" i="7"/>
  <c r="D7" i="7"/>
  <c r="E7" i="7" s="1"/>
  <c r="L6" i="7"/>
  <c r="F6" i="7"/>
  <c r="G6" i="7" s="1"/>
  <c r="M6" i="7" s="1"/>
  <c r="D6" i="7"/>
  <c r="L5" i="7"/>
  <c r="F5" i="7"/>
  <c r="G5" i="7" s="1"/>
  <c r="M5" i="7" s="1"/>
  <c r="D5" i="7"/>
  <c r="E5" i="7" s="1"/>
  <c r="L4" i="7"/>
  <c r="F4" i="7"/>
  <c r="G4" i="7" s="1"/>
  <c r="D4" i="7"/>
  <c r="E4" i="7" s="1"/>
  <c r="L3" i="7"/>
  <c r="F3" i="7"/>
  <c r="D3" i="7"/>
  <c r="B81" i="5"/>
  <c r="B79" i="5"/>
  <c r="B75" i="5"/>
  <c r="B73" i="5"/>
  <c r="G71" i="5"/>
  <c r="F71" i="5"/>
  <c r="D71" i="5"/>
  <c r="C71" i="5"/>
  <c r="F59" i="5"/>
  <c r="F49" i="5"/>
  <c r="F46" i="5"/>
  <c r="E38" i="5"/>
  <c r="F38" i="5" s="1"/>
  <c r="F37" i="5"/>
  <c r="F36" i="5"/>
  <c r="F35" i="5"/>
  <c r="F34" i="5"/>
  <c r="F31" i="5"/>
  <c r="F30" i="5"/>
  <c r="F29" i="5"/>
  <c r="F28" i="5"/>
  <c r="F27" i="5"/>
  <c r="F26" i="5"/>
  <c r="F25" i="5"/>
  <c r="F24" i="5"/>
  <c r="F23" i="5"/>
  <c r="Z22" i="5"/>
  <c r="Q22" i="5"/>
  <c r="P22" i="5"/>
  <c r="O22" i="5"/>
  <c r="N22" i="5"/>
  <c r="M22" i="5"/>
  <c r="L22" i="5"/>
  <c r="K22" i="5"/>
  <c r="J22" i="5"/>
  <c r="F22" i="5"/>
  <c r="Q21" i="5"/>
  <c r="N21" i="5"/>
  <c r="L21" i="5"/>
  <c r="J21" i="5"/>
  <c r="Z21" i="5" s="1"/>
  <c r="F21" i="5"/>
  <c r="Z20" i="5"/>
  <c r="Q20" i="5"/>
  <c r="P20" i="5"/>
  <c r="O20" i="5"/>
  <c r="N20" i="5"/>
  <c r="M20" i="5"/>
  <c r="K20" i="5"/>
  <c r="J20" i="5"/>
  <c r="L20" i="5" s="1"/>
  <c r="F20" i="5"/>
  <c r="N19" i="5"/>
  <c r="L19" i="5"/>
  <c r="J19" i="5"/>
  <c r="F19" i="5"/>
  <c r="M18" i="5"/>
  <c r="K18" i="5"/>
  <c r="J18" i="5"/>
  <c r="J17" i="5"/>
  <c r="F17" i="5"/>
  <c r="P16" i="5"/>
  <c r="N16" i="5"/>
  <c r="L16" i="5"/>
  <c r="K16" i="5"/>
  <c r="J16" i="5"/>
  <c r="F16" i="5"/>
  <c r="Q15" i="5"/>
  <c r="O15" i="5"/>
  <c r="M15" i="5"/>
  <c r="L15" i="5"/>
  <c r="K15" i="5"/>
  <c r="J15" i="5"/>
  <c r="F15" i="5"/>
  <c r="J14" i="5"/>
  <c r="Z13" i="5"/>
  <c r="Q13" i="5"/>
  <c r="P13" i="5"/>
  <c r="O13" i="5"/>
  <c r="N13" i="5"/>
  <c r="M13" i="5"/>
  <c r="L13" i="5"/>
  <c r="K13" i="5"/>
  <c r="Q12" i="5"/>
  <c r="K12" i="5"/>
  <c r="J12" i="5"/>
  <c r="Q11" i="5"/>
  <c r="O11" i="5"/>
  <c r="M11" i="5"/>
  <c r="J11" i="5"/>
  <c r="Q10" i="5"/>
  <c r="J10" i="5"/>
  <c r="F10" i="5"/>
  <c r="J9" i="5"/>
  <c r="J8" i="5"/>
  <c r="J7" i="5"/>
  <c r="Z6" i="5"/>
  <c r="M6" i="5"/>
  <c r="L6" i="5"/>
  <c r="K6" i="5"/>
  <c r="J6" i="5"/>
  <c r="P5" i="5"/>
  <c r="N5" i="5"/>
  <c r="J5" i="5"/>
  <c r="M4" i="5"/>
  <c r="L4" i="5"/>
  <c r="K4" i="5"/>
  <c r="J4" i="5"/>
  <c r="P3" i="5"/>
  <c r="N3" i="5"/>
  <c r="J3" i="5"/>
  <c r="D44" i="4"/>
  <c r="C41" i="4"/>
  <c r="C42" i="4" s="1"/>
  <c r="C40" i="4"/>
  <c r="F29" i="4"/>
  <c r="F25" i="4"/>
  <c r="F24" i="4"/>
  <c r="F23" i="4"/>
  <c r="I22" i="4"/>
  <c r="F22" i="4"/>
  <c r="Y21" i="4"/>
  <c r="P21" i="4"/>
  <c r="O21" i="4"/>
  <c r="N21" i="4"/>
  <c r="M21" i="4"/>
  <c r="L21" i="4"/>
  <c r="K21" i="4"/>
  <c r="J21" i="4"/>
  <c r="I21" i="4"/>
  <c r="F21" i="4"/>
  <c r="I20" i="4"/>
  <c r="F20" i="4"/>
  <c r="Y19" i="4"/>
  <c r="P19" i="4"/>
  <c r="O19" i="4"/>
  <c r="N19" i="4"/>
  <c r="M19" i="4"/>
  <c r="L19" i="4"/>
  <c r="J19" i="4"/>
  <c r="I19" i="4"/>
  <c r="K19" i="4" s="1"/>
  <c r="F19" i="4"/>
  <c r="P18" i="4"/>
  <c r="O18" i="4"/>
  <c r="N18" i="4"/>
  <c r="M18" i="4"/>
  <c r="K18" i="4"/>
  <c r="I18" i="4"/>
  <c r="F18" i="4"/>
  <c r="I17" i="4"/>
  <c r="F17" i="4"/>
  <c r="I16" i="4"/>
  <c r="O16" i="4" s="1"/>
  <c r="F16" i="4"/>
  <c r="I15" i="4"/>
  <c r="F15" i="4"/>
  <c r="O14" i="4"/>
  <c r="N14" i="4"/>
  <c r="M14" i="4"/>
  <c r="L14" i="4"/>
  <c r="K14" i="4"/>
  <c r="I14" i="4"/>
  <c r="F14" i="4"/>
  <c r="Y13" i="4"/>
  <c r="P13" i="4"/>
  <c r="O13" i="4"/>
  <c r="N13" i="4"/>
  <c r="M13" i="4"/>
  <c r="L13" i="4"/>
  <c r="K13" i="4"/>
  <c r="J13" i="4"/>
  <c r="I13" i="4"/>
  <c r="F13" i="4"/>
  <c r="Y12" i="4"/>
  <c r="O12" i="4"/>
  <c r="N12" i="4"/>
  <c r="J12" i="4"/>
  <c r="I12" i="4"/>
  <c r="P12" i="4" s="1"/>
  <c r="F12" i="4"/>
  <c r="Y11" i="4"/>
  <c r="P11" i="4"/>
  <c r="N11" i="4"/>
  <c r="M11" i="4"/>
  <c r="L11" i="4"/>
  <c r="K11" i="4"/>
  <c r="J11" i="4"/>
  <c r="I11" i="4"/>
  <c r="O11" i="4" s="1"/>
  <c r="F11" i="4"/>
  <c r="I10" i="4"/>
  <c r="L10" i="4" s="1"/>
  <c r="F10" i="4"/>
  <c r="F26" i="4" s="1"/>
  <c r="F28" i="4" s="1"/>
  <c r="Q18" i="4" s="1"/>
  <c r="I9" i="4"/>
  <c r="F9" i="4"/>
  <c r="Y8" i="4"/>
  <c r="P8" i="4"/>
  <c r="O8" i="4"/>
  <c r="N8" i="4"/>
  <c r="M8" i="4"/>
  <c r="L8" i="4"/>
  <c r="K8" i="4"/>
  <c r="J8" i="4"/>
  <c r="I8" i="4"/>
  <c r="Y7" i="4"/>
  <c r="P7" i="4"/>
  <c r="O7" i="4"/>
  <c r="N7" i="4"/>
  <c r="M7" i="4"/>
  <c r="L7" i="4"/>
  <c r="K7" i="4"/>
  <c r="J7" i="4"/>
  <c r="I7" i="4"/>
  <c r="Y6" i="4"/>
  <c r="P6" i="4"/>
  <c r="O6" i="4"/>
  <c r="N6" i="4"/>
  <c r="M6" i="4"/>
  <c r="L6" i="4"/>
  <c r="K6" i="4"/>
  <c r="J6" i="4"/>
  <c r="I6" i="4"/>
  <c r="Y5" i="4"/>
  <c r="P5" i="4"/>
  <c r="O5" i="4"/>
  <c r="N5" i="4"/>
  <c r="M5" i="4"/>
  <c r="L5" i="4"/>
  <c r="K5" i="4"/>
  <c r="J5" i="4"/>
  <c r="I5" i="4"/>
  <c r="Y4" i="4"/>
  <c r="P4" i="4"/>
  <c r="O4" i="4"/>
  <c r="N4" i="4"/>
  <c r="M4" i="4"/>
  <c r="L4" i="4"/>
  <c r="K4" i="4"/>
  <c r="J4" i="4"/>
  <c r="I4" i="4"/>
  <c r="Y3" i="4"/>
  <c r="P3" i="4"/>
  <c r="O3" i="4"/>
  <c r="N3" i="4"/>
  <c r="M3" i="4"/>
  <c r="L3" i="4"/>
  <c r="K3" i="4"/>
  <c r="J3" i="4"/>
  <c r="I3" i="4"/>
  <c r="F65" i="3"/>
  <c r="E57" i="3"/>
  <c r="F55" i="3"/>
  <c r="F52" i="3"/>
  <c r="E44" i="3"/>
  <c r="D44" i="3"/>
  <c r="F44" i="3" s="1"/>
  <c r="F43" i="3"/>
  <c r="F42" i="3"/>
  <c r="E47" i="3" s="1"/>
  <c r="F41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Z22" i="3"/>
  <c r="J22" i="3"/>
  <c r="F22" i="3"/>
  <c r="J21" i="3"/>
  <c r="M21" i="3" s="1"/>
  <c r="F21" i="3"/>
  <c r="Q20" i="3"/>
  <c r="P20" i="3"/>
  <c r="O20" i="3"/>
  <c r="J20" i="3"/>
  <c r="N20" i="3" s="1"/>
  <c r="F20" i="3"/>
  <c r="E38" i="3" s="1"/>
  <c r="L19" i="3"/>
  <c r="K19" i="3"/>
  <c r="J19" i="3"/>
  <c r="M19" i="3" s="1"/>
  <c r="Q18" i="3"/>
  <c r="P18" i="3"/>
  <c r="O18" i="3"/>
  <c r="N18" i="3"/>
  <c r="M18" i="3"/>
  <c r="J18" i="3"/>
  <c r="L18" i="3" s="1"/>
  <c r="F18" i="3"/>
  <c r="Z17" i="3"/>
  <c r="Q17" i="3"/>
  <c r="P17" i="3"/>
  <c r="O17" i="3"/>
  <c r="N17" i="3"/>
  <c r="M17" i="3"/>
  <c r="L17" i="3"/>
  <c r="K17" i="3"/>
  <c r="J17" i="3"/>
  <c r="F17" i="3"/>
  <c r="D45" i="3" s="1"/>
  <c r="F45" i="3" s="1"/>
  <c r="Z16" i="3"/>
  <c r="Q16" i="3"/>
  <c r="P16" i="3"/>
  <c r="O16" i="3"/>
  <c r="N16" i="3"/>
  <c r="M16" i="3"/>
  <c r="L16" i="3"/>
  <c r="J16" i="3"/>
  <c r="K16" i="3" s="1"/>
  <c r="F16" i="3"/>
  <c r="Z15" i="3"/>
  <c r="Q15" i="3"/>
  <c r="P15" i="3"/>
  <c r="O15" i="3"/>
  <c r="N15" i="3"/>
  <c r="M15" i="3"/>
  <c r="L15" i="3"/>
  <c r="K15" i="3"/>
  <c r="J15" i="3"/>
  <c r="Z14" i="3"/>
  <c r="Q14" i="3"/>
  <c r="P14" i="3"/>
  <c r="O14" i="3"/>
  <c r="N14" i="3"/>
  <c r="M14" i="3"/>
  <c r="L14" i="3"/>
  <c r="K14" i="3"/>
  <c r="J14" i="3"/>
  <c r="Z13" i="3"/>
  <c r="Q13" i="3"/>
  <c r="P13" i="3"/>
  <c r="O13" i="3"/>
  <c r="N13" i="3"/>
  <c r="M13" i="3"/>
  <c r="L13" i="3"/>
  <c r="K13" i="3"/>
  <c r="Z12" i="3"/>
  <c r="K12" i="3"/>
  <c r="J12" i="3"/>
  <c r="L12" i="3" s="1"/>
  <c r="Z11" i="3"/>
  <c r="Q11" i="3"/>
  <c r="P11" i="3"/>
  <c r="O11" i="3"/>
  <c r="N11" i="3"/>
  <c r="M11" i="3"/>
  <c r="L11" i="3"/>
  <c r="K11" i="3"/>
  <c r="J11" i="3"/>
  <c r="F11" i="3"/>
  <c r="Z10" i="3"/>
  <c r="Q10" i="3"/>
  <c r="P10" i="3"/>
  <c r="O10" i="3"/>
  <c r="N10" i="3"/>
  <c r="M10" i="3"/>
  <c r="L10" i="3"/>
  <c r="K10" i="3"/>
  <c r="J10" i="3"/>
  <c r="Z9" i="3"/>
  <c r="Q9" i="3"/>
  <c r="P9" i="3"/>
  <c r="O9" i="3"/>
  <c r="N9" i="3"/>
  <c r="M9" i="3"/>
  <c r="L9" i="3"/>
  <c r="K9" i="3"/>
  <c r="J9" i="3"/>
  <c r="Z8" i="3"/>
  <c r="Q8" i="3"/>
  <c r="P8" i="3"/>
  <c r="O8" i="3"/>
  <c r="N8" i="3"/>
  <c r="M8" i="3"/>
  <c r="L8" i="3"/>
  <c r="K8" i="3"/>
  <c r="J8" i="3"/>
  <c r="Z7" i="3"/>
  <c r="Q7" i="3"/>
  <c r="P7" i="3"/>
  <c r="O7" i="3"/>
  <c r="N7" i="3"/>
  <c r="M7" i="3"/>
  <c r="L7" i="3"/>
  <c r="K7" i="3"/>
  <c r="J7" i="3"/>
  <c r="Z6" i="3"/>
  <c r="Q6" i="3"/>
  <c r="P6" i="3"/>
  <c r="O6" i="3"/>
  <c r="N6" i="3"/>
  <c r="M6" i="3"/>
  <c r="L6" i="3"/>
  <c r="K6" i="3"/>
  <c r="J6" i="3"/>
  <c r="Z5" i="3"/>
  <c r="Q5" i="3"/>
  <c r="P5" i="3"/>
  <c r="O5" i="3"/>
  <c r="N5" i="3"/>
  <c r="M5" i="3"/>
  <c r="L5" i="3"/>
  <c r="K5" i="3"/>
  <c r="J5" i="3"/>
  <c r="Z4" i="3"/>
  <c r="Q4" i="3"/>
  <c r="P4" i="3"/>
  <c r="O4" i="3"/>
  <c r="N4" i="3"/>
  <c r="M4" i="3"/>
  <c r="L4" i="3"/>
  <c r="K4" i="3"/>
  <c r="J4" i="3"/>
  <c r="Z3" i="3"/>
  <c r="Q3" i="3"/>
  <c r="P3" i="3"/>
  <c r="O3" i="3"/>
  <c r="N3" i="3"/>
  <c r="M3" i="3"/>
  <c r="L3" i="3"/>
  <c r="K3" i="3"/>
  <c r="J3" i="3"/>
  <c r="L23" i="5" l="1"/>
  <c r="T23" i="5" s="1"/>
  <c r="AB23" i="5" s="1"/>
  <c r="H18" i="7"/>
  <c r="N18" i="7" s="1"/>
  <c r="R18" i="7" s="1"/>
  <c r="S18" i="7" s="1"/>
  <c r="M4" i="7"/>
  <c r="H4" i="7"/>
  <c r="N4" i="7" s="1"/>
  <c r="R4" i="7" s="1"/>
  <c r="S4" i="7" s="1"/>
  <c r="H11" i="7"/>
  <c r="N11" i="7" s="1"/>
  <c r="R11" i="7" s="1"/>
  <c r="S11" i="7" s="1"/>
  <c r="H5" i="7"/>
  <c r="N5" i="7" s="1"/>
  <c r="R5" i="7" s="1"/>
  <c r="S5" i="7" s="1"/>
  <c r="M18" i="7"/>
  <c r="H19" i="7"/>
  <c r="N19" i="7" s="1"/>
  <c r="O19" i="7" s="1"/>
  <c r="P19" i="7" s="1"/>
  <c r="Q19" i="7" s="1"/>
  <c r="U19" i="7" s="1"/>
  <c r="H17" i="7"/>
  <c r="N17" i="7" s="1"/>
  <c r="R17" i="7" s="1"/>
  <c r="S17" i="7" s="1"/>
  <c r="X5" i="4"/>
  <c r="AF5" i="4" s="1"/>
  <c r="T6" i="4"/>
  <c r="AB6" i="4" s="1"/>
  <c r="S6" i="4"/>
  <c r="AA6" i="4" s="1"/>
  <c r="V14" i="4"/>
  <c r="O19" i="5"/>
  <c r="M19" i="5"/>
  <c r="K19" i="5"/>
  <c r="Q19" i="5"/>
  <c r="P19" i="5"/>
  <c r="Z19" i="5"/>
  <c r="R3" i="4"/>
  <c r="Z3" i="4" s="1"/>
  <c r="M12" i="3"/>
  <c r="Z19" i="3"/>
  <c r="L21" i="3"/>
  <c r="Q14" i="4"/>
  <c r="E21" i="7"/>
  <c r="Y17" i="4"/>
  <c r="M17" i="4"/>
  <c r="K17" i="4"/>
  <c r="P17" i="4"/>
  <c r="O17" i="4"/>
  <c r="N17" i="4"/>
  <c r="L17" i="4"/>
  <c r="U18" i="4"/>
  <c r="J20" i="4"/>
  <c r="O20" i="4"/>
  <c r="Y20" i="4"/>
  <c r="K20" i="4"/>
  <c r="P22" i="4"/>
  <c r="O22" i="4"/>
  <c r="N22" i="4"/>
  <c r="M22" i="4"/>
  <c r="Q8" i="5"/>
  <c r="O8" i="5"/>
  <c r="P8" i="5"/>
  <c r="N8" i="5"/>
  <c r="M8" i="5"/>
  <c r="L8" i="5"/>
  <c r="K8" i="5"/>
  <c r="D39" i="5"/>
  <c r="F39" i="5" s="1"/>
  <c r="F41" i="5" s="1"/>
  <c r="G15" i="7"/>
  <c r="M15" i="7" s="1"/>
  <c r="O12" i="3"/>
  <c r="N21" i="3"/>
  <c r="N19" i="3"/>
  <c r="O21" i="3"/>
  <c r="Q22" i="3"/>
  <c r="P22" i="3"/>
  <c r="O22" i="3"/>
  <c r="V3" i="4"/>
  <c r="AD3" i="4" s="1"/>
  <c r="J10" i="4"/>
  <c r="J16" i="4"/>
  <c r="W18" i="4"/>
  <c r="M20" i="4"/>
  <c r="K22" i="4"/>
  <c r="Q12" i="3"/>
  <c r="O19" i="3"/>
  <c r="P21" i="3"/>
  <c r="W3" i="4"/>
  <c r="AE3" i="4" s="1"/>
  <c r="V7" i="4"/>
  <c r="AD7" i="4" s="1"/>
  <c r="K10" i="4"/>
  <c r="M16" i="4"/>
  <c r="X18" i="4"/>
  <c r="N20" i="4"/>
  <c r="L22" i="4"/>
  <c r="Z8" i="5"/>
  <c r="P19" i="3"/>
  <c r="Z20" i="3"/>
  <c r="L22" i="3"/>
  <c r="P9" i="4"/>
  <c r="N9" i="4"/>
  <c r="M9" i="4"/>
  <c r="L9" i="4"/>
  <c r="T9" i="4" s="1"/>
  <c r="AB9" i="4" s="1"/>
  <c r="Y9" i="4"/>
  <c r="K9" i="4"/>
  <c r="S9" i="4" s="1"/>
  <c r="AA9" i="4" s="1"/>
  <c r="J9" i="4"/>
  <c r="P20" i="4"/>
  <c r="Y22" i="4"/>
  <c r="Q19" i="3"/>
  <c r="M22" i="3"/>
  <c r="V4" i="4"/>
  <c r="AD4" i="4" s="1"/>
  <c r="O9" i="4"/>
  <c r="O15" i="4"/>
  <c r="W15" i="4" s="1"/>
  <c r="AE15" i="4" s="1"/>
  <c r="Y15" i="4"/>
  <c r="M15" i="4"/>
  <c r="L15" i="4"/>
  <c r="P15" i="4"/>
  <c r="X15" i="4" s="1"/>
  <c r="AF15" i="4" s="1"/>
  <c r="N15" i="4"/>
  <c r="K15" i="4"/>
  <c r="J15" i="4"/>
  <c r="R15" i="4" s="1"/>
  <c r="Z15" i="4" s="1"/>
  <c r="Q9" i="5"/>
  <c r="O9" i="5"/>
  <c r="M9" i="5"/>
  <c r="L9" i="5"/>
  <c r="Z9" i="5"/>
  <c r="K9" i="5"/>
  <c r="Q21" i="3"/>
  <c r="Z21" i="3"/>
  <c r="K21" i="3"/>
  <c r="Q13" i="4"/>
  <c r="Q21" i="4"/>
  <c r="Q16" i="4"/>
  <c r="W16" i="4" s="1"/>
  <c r="AE16" i="4" s="1"/>
  <c r="Q8" i="4"/>
  <c r="Q7" i="4"/>
  <c r="W7" i="4" s="1"/>
  <c r="AE7" i="4" s="1"/>
  <c r="Q6" i="4"/>
  <c r="Q5" i="4"/>
  <c r="Q4" i="4"/>
  <c r="X4" i="4" s="1"/>
  <c r="AF4" i="4" s="1"/>
  <c r="Q3" i="4"/>
  <c r="X3" i="4" s="1"/>
  <c r="AF3" i="4" s="1"/>
  <c r="Q15" i="4"/>
  <c r="F30" i="4"/>
  <c r="Q17" i="4"/>
  <c r="Q10" i="4"/>
  <c r="T10" i="4" s="1"/>
  <c r="AB10" i="4" s="1"/>
  <c r="Q22" i="4"/>
  <c r="Q20" i="4"/>
  <c r="O10" i="4"/>
  <c r="P10" i="4"/>
  <c r="N10" i="4"/>
  <c r="M10" i="4"/>
  <c r="U10" i="4" s="1"/>
  <c r="AC10" i="4" s="1"/>
  <c r="V18" i="4"/>
  <c r="X12" i="4"/>
  <c r="AF12" i="4" s="1"/>
  <c r="Z18" i="3"/>
  <c r="L20" i="3"/>
  <c r="N22" i="3"/>
  <c r="Q9" i="4"/>
  <c r="Q11" i="4"/>
  <c r="W11" i="4" s="1"/>
  <c r="AE11" i="4" s="1"/>
  <c r="Q12" i="4"/>
  <c r="S14" i="4"/>
  <c r="AA14" i="4" s="1"/>
  <c r="Q19" i="4"/>
  <c r="N9" i="5"/>
  <c r="W14" i="4"/>
  <c r="AE14" i="4" s="1"/>
  <c r="N12" i="3"/>
  <c r="N16" i="4"/>
  <c r="L16" i="4"/>
  <c r="T16" i="4" s="1"/>
  <c r="AB16" i="4" s="1"/>
  <c r="K16" i="4"/>
  <c r="S16" i="4" s="1"/>
  <c r="AA16" i="4" s="1"/>
  <c r="Y16" i="4"/>
  <c r="J17" i="4"/>
  <c r="R17" i="4" s="1"/>
  <c r="Z17" i="4" s="1"/>
  <c r="J22" i="4"/>
  <c r="R22" i="4" s="1"/>
  <c r="Z22" i="4" s="1"/>
  <c r="E9" i="7"/>
  <c r="P12" i="3"/>
  <c r="G9" i="7"/>
  <c r="M9" i="7" s="1"/>
  <c r="T14" i="4"/>
  <c r="AB14" i="4" s="1"/>
  <c r="P9" i="5"/>
  <c r="U3" i="4"/>
  <c r="AC3" i="4" s="1"/>
  <c r="L20" i="4"/>
  <c r="T20" i="4" s="1"/>
  <c r="AB20" i="4" s="1"/>
  <c r="K20" i="3"/>
  <c r="P16" i="4"/>
  <c r="K18" i="3"/>
  <c r="M20" i="3"/>
  <c r="T5" i="4"/>
  <c r="AB5" i="4" s="1"/>
  <c r="R6" i="4"/>
  <c r="Z6" i="4" s="1"/>
  <c r="Y10" i="4"/>
  <c r="U14" i="4"/>
  <c r="AC14" i="4" s="1"/>
  <c r="Q4" i="5"/>
  <c r="O4" i="5"/>
  <c r="P4" i="5"/>
  <c r="N4" i="5"/>
  <c r="Z4" i="5"/>
  <c r="G16" i="7"/>
  <c r="U6" i="4"/>
  <c r="AC6" i="4" s="1"/>
  <c r="X21" i="4"/>
  <c r="AF21" i="4" s="1"/>
  <c r="D45" i="4"/>
  <c r="D46" i="4" s="1"/>
  <c r="D47" i="4" s="1"/>
  <c r="P10" i="5"/>
  <c r="Z10" i="5"/>
  <c r="N10" i="5"/>
  <c r="O10" i="5"/>
  <c r="M10" i="5"/>
  <c r="L10" i="5"/>
  <c r="U4" i="4"/>
  <c r="AC4" i="4" s="1"/>
  <c r="S7" i="4"/>
  <c r="AA7" i="4" s="1"/>
  <c r="S13" i="4"/>
  <c r="AA13" i="4" s="1"/>
  <c r="S18" i="4"/>
  <c r="Q3" i="5"/>
  <c r="O3" i="5"/>
  <c r="M3" i="5"/>
  <c r="L3" i="5"/>
  <c r="Z3" i="5"/>
  <c r="K3" i="5"/>
  <c r="K10" i="5"/>
  <c r="E3" i="7"/>
  <c r="E12" i="7"/>
  <c r="H12" i="7"/>
  <c r="N12" i="7" s="1"/>
  <c r="R12" i="7" s="1"/>
  <c r="S12" i="7" s="1"/>
  <c r="P17" i="5"/>
  <c r="Z17" i="5"/>
  <c r="N17" i="5"/>
  <c r="L17" i="5"/>
  <c r="Q17" i="5"/>
  <c r="G3" i="7"/>
  <c r="M3" i="7" s="1"/>
  <c r="O18" i="7"/>
  <c r="P18" i="7" s="1"/>
  <c r="Q18" i="7" s="1"/>
  <c r="U18" i="7" s="1"/>
  <c r="K17" i="5"/>
  <c r="M22" i="7"/>
  <c r="H22" i="7"/>
  <c r="N22" i="7" s="1"/>
  <c r="R22" i="7" s="1"/>
  <c r="Q7" i="5"/>
  <c r="O7" i="5"/>
  <c r="M7" i="5"/>
  <c r="L7" i="5"/>
  <c r="Z7" i="5"/>
  <c r="K7" i="5"/>
  <c r="Q14" i="5"/>
  <c r="O14" i="5"/>
  <c r="P14" i="5"/>
  <c r="M14" i="5"/>
  <c r="L14" i="5"/>
  <c r="Z14" i="5"/>
  <c r="K14" i="5"/>
  <c r="M17" i="5"/>
  <c r="E6" i="7"/>
  <c r="H6" i="7"/>
  <c r="N6" i="7" s="1"/>
  <c r="F47" i="3"/>
  <c r="U5" i="4"/>
  <c r="AC5" i="4" s="1"/>
  <c r="K12" i="4"/>
  <c r="S12" i="4" s="1"/>
  <c r="AA12" i="4" s="1"/>
  <c r="S21" i="4"/>
  <c r="AA21" i="4" s="1"/>
  <c r="Q6" i="5"/>
  <c r="O6" i="5"/>
  <c r="P6" i="5"/>
  <c r="N6" i="5"/>
  <c r="N7" i="5"/>
  <c r="P12" i="5"/>
  <c r="Z12" i="5"/>
  <c r="N12" i="5"/>
  <c r="O12" i="5"/>
  <c r="M12" i="5"/>
  <c r="L12" i="5"/>
  <c r="N14" i="5"/>
  <c r="O17" i="5"/>
  <c r="H10" i="7"/>
  <c r="N10" i="7" s="1"/>
  <c r="R10" i="7" s="1"/>
  <c r="S10" i="7" s="1"/>
  <c r="L12" i="4"/>
  <c r="V19" i="4"/>
  <c r="AD19" i="4" s="1"/>
  <c r="P7" i="5"/>
  <c r="M12" i="4"/>
  <c r="U12" i="4" s="1"/>
  <c r="AC12" i="4" s="1"/>
  <c r="P14" i="4"/>
  <c r="X14" i="4" s="1"/>
  <c r="AF14" i="4" s="1"/>
  <c r="J14" i="4"/>
  <c r="Y14" i="4"/>
  <c r="W19" i="4"/>
  <c r="AE19" i="4" s="1"/>
  <c r="Q5" i="5"/>
  <c r="O5" i="5"/>
  <c r="M5" i="5"/>
  <c r="L5" i="5"/>
  <c r="Z5" i="5"/>
  <c r="K5" i="5"/>
  <c r="E15" i="7"/>
  <c r="H15" i="7"/>
  <c r="N15" i="7" s="1"/>
  <c r="R15" i="7" s="1"/>
  <c r="S15" i="7" s="1"/>
  <c r="G20" i="7"/>
  <c r="G8" i="7"/>
  <c r="M8" i="7" s="1"/>
  <c r="G14" i="7"/>
  <c r="M14" i="7" s="1"/>
  <c r="U21" i="4"/>
  <c r="AC21" i="4" s="1"/>
  <c r="Q16" i="5"/>
  <c r="O16" i="5"/>
  <c r="M16" i="5"/>
  <c r="Z16" i="5"/>
  <c r="P18" i="5"/>
  <c r="Z18" i="5"/>
  <c r="N18" i="5"/>
  <c r="L18" i="5"/>
  <c r="M21" i="5"/>
  <c r="K21" i="5"/>
  <c r="G7" i="7"/>
  <c r="G13" i="7"/>
  <c r="P11" i="5"/>
  <c r="Z11" i="5"/>
  <c r="N11" i="5"/>
  <c r="E23" i="7"/>
  <c r="L18" i="4"/>
  <c r="T18" i="4" s="1"/>
  <c r="J18" i="4"/>
  <c r="R18" i="4" s="1"/>
  <c r="Y18" i="4"/>
  <c r="U19" i="4"/>
  <c r="AC19" i="4" s="1"/>
  <c r="K11" i="5"/>
  <c r="O18" i="5"/>
  <c r="O21" i="5"/>
  <c r="G21" i="7"/>
  <c r="M21" i="7" s="1"/>
  <c r="L11" i="5"/>
  <c r="P15" i="5"/>
  <c r="Z15" i="5"/>
  <c r="N15" i="5"/>
  <c r="Q18" i="5"/>
  <c r="P21" i="5"/>
  <c r="G23" i="7"/>
  <c r="M23" i="7" s="1"/>
  <c r="O5" i="7" l="1"/>
  <c r="P5" i="7" s="1"/>
  <c r="Q5" i="7" s="1"/>
  <c r="U5" i="7" s="1"/>
  <c r="R19" i="7"/>
  <c r="S19" i="7" s="1"/>
  <c r="H21" i="7"/>
  <c r="N21" i="7" s="1"/>
  <c r="R21" i="7" s="1"/>
  <c r="H9" i="7"/>
  <c r="N9" i="7" s="1"/>
  <c r="R9" i="7" s="1"/>
  <c r="S9" i="7" s="1"/>
  <c r="H14" i="7"/>
  <c r="N14" i="7" s="1"/>
  <c r="R14" i="7" s="1"/>
  <c r="S14" i="7" s="1"/>
  <c r="O10" i="7"/>
  <c r="P10" i="7" s="1"/>
  <c r="Q10" i="7" s="1"/>
  <c r="U10" i="7" s="1"/>
  <c r="H8" i="7"/>
  <c r="N8" i="7" s="1"/>
  <c r="R8" i="7" s="1"/>
  <c r="S8" i="7" s="1"/>
  <c r="O4" i="7"/>
  <c r="P4" i="7" s="1"/>
  <c r="Q4" i="7" s="1"/>
  <c r="U4" i="7" s="1"/>
  <c r="O11" i="7"/>
  <c r="P11" i="7" s="1"/>
  <c r="Q11" i="7" s="1"/>
  <c r="U11" i="7" s="1"/>
  <c r="O17" i="7"/>
  <c r="P17" i="7" s="1"/>
  <c r="Q17" i="7" s="1"/>
  <c r="U17" i="7" s="1"/>
  <c r="E77" i="5"/>
  <c r="E75" i="5"/>
  <c r="D47" i="5"/>
  <c r="F47" i="5" s="1"/>
  <c r="F52" i="5" s="1"/>
  <c r="F55" i="5" s="1"/>
  <c r="F81" i="5"/>
  <c r="F79" i="5"/>
  <c r="C77" i="5"/>
  <c r="E73" i="5"/>
  <c r="C73" i="5"/>
  <c r="C79" i="5"/>
  <c r="E79" i="5"/>
  <c r="D75" i="5"/>
  <c r="D77" i="5"/>
  <c r="F77" i="5"/>
  <c r="C75" i="5"/>
  <c r="F75" i="5"/>
  <c r="D81" i="5"/>
  <c r="G81" i="5"/>
  <c r="F43" i="5"/>
  <c r="F73" i="5"/>
  <c r="G77" i="5"/>
  <c r="D73" i="5"/>
  <c r="G79" i="5"/>
  <c r="E81" i="5"/>
  <c r="G73" i="5"/>
  <c r="G75" i="5"/>
  <c r="C81" i="5"/>
  <c r="D79" i="5"/>
  <c r="H3" i="7"/>
  <c r="N3" i="7" s="1"/>
  <c r="R3" i="7" s="1"/>
  <c r="S3" i="7" s="1"/>
  <c r="U11" i="4"/>
  <c r="AC11" i="4" s="1"/>
  <c r="S22" i="4"/>
  <c r="AA22" i="4" s="1"/>
  <c r="T17" i="4"/>
  <c r="AB17" i="4" s="1"/>
  <c r="M16" i="7"/>
  <c r="H16" i="7"/>
  <c r="N16" i="7" s="1"/>
  <c r="R16" i="7" s="1"/>
  <c r="S16" i="7" s="1"/>
  <c r="T8" i="4"/>
  <c r="AB8" i="4" s="1"/>
  <c r="S8" i="4"/>
  <c r="AA8" i="4" s="1"/>
  <c r="R8" i="4"/>
  <c r="Z8" i="4" s="1"/>
  <c r="S10" i="4"/>
  <c r="AA10" i="4" s="1"/>
  <c r="U20" i="4"/>
  <c r="AC20" i="4" s="1"/>
  <c r="V17" i="4"/>
  <c r="AD17" i="4" s="1"/>
  <c r="W9" i="4"/>
  <c r="AE9" i="4" s="1"/>
  <c r="X20" i="4"/>
  <c r="AF20" i="4" s="1"/>
  <c r="U8" i="4"/>
  <c r="AC8" i="4" s="1"/>
  <c r="AE18" i="4"/>
  <c r="W17" i="4"/>
  <c r="AE17" i="4" s="1"/>
  <c r="T19" i="4"/>
  <c r="AB19" i="4" s="1"/>
  <c r="R19" i="4"/>
  <c r="Z19" i="4" s="1"/>
  <c r="X19" i="4"/>
  <c r="AF19" i="4" s="1"/>
  <c r="R21" i="4"/>
  <c r="Z21" i="4" s="1"/>
  <c r="T21" i="4"/>
  <c r="AB21" i="4" s="1"/>
  <c r="W8" i="4"/>
  <c r="AE8" i="4" s="1"/>
  <c r="R9" i="4"/>
  <c r="Z9" i="4" s="1"/>
  <c r="R16" i="4"/>
  <c r="Z16" i="4" s="1"/>
  <c r="O15" i="7"/>
  <c r="P15" i="7" s="1"/>
  <c r="Q15" i="7" s="1"/>
  <c r="U15" i="7" s="1"/>
  <c r="U22" i="4"/>
  <c r="AC22" i="4" s="1"/>
  <c r="X17" i="4"/>
  <c r="AF17" i="4" s="1"/>
  <c r="W13" i="4"/>
  <c r="AE13" i="4" s="1"/>
  <c r="X13" i="4"/>
  <c r="AF13" i="4" s="1"/>
  <c r="U13" i="4"/>
  <c r="AC13" i="4" s="1"/>
  <c r="T13" i="4"/>
  <c r="AB13" i="4" s="1"/>
  <c r="T11" i="4"/>
  <c r="AB11" i="4" s="1"/>
  <c r="R10" i="4"/>
  <c r="Z10" i="4" s="1"/>
  <c r="V22" i="4"/>
  <c r="AD22" i="4" s="1"/>
  <c r="S17" i="4"/>
  <c r="AA17" i="4" s="1"/>
  <c r="AA18" i="4"/>
  <c r="W12" i="4"/>
  <c r="AE12" i="4" s="1"/>
  <c r="V12" i="4"/>
  <c r="AD12" i="4" s="1"/>
  <c r="AD18" i="4"/>
  <c r="W22" i="4"/>
  <c r="AE22" i="4" s="1"/>
  <c r="U17" i="4"/>
  <c r="AC17" i="4" s="1"/>
  <c r="AD14" i="4"/>
  <c r="X22" i="4"/>
  <c r="AF22" i="4" s="1"/>
  <c r="F61" i="3"/>
  <c r="D53" i="3"/>
  <c r="F53" i="3" s="1"/>
  <c r="F58" i="3" s="1"/>
  <c r="F49" i="3"/>
  <c r="V10" i="4"/>
  <c r="AD10" i="4" s="1"/>
  <c r="S15" i="4"/>
  <c r="AA15" i="4" s="1"/>
  <c r="U9" i="4"/>
  <c r="AC9" i="4" s="1"/>
  <c r="S20" i="4"/>
  <c r="AA20" i="4" s="1"/>
  <c r="R11" i="4"/>
  <c r="Z11" i="4" s="1"/>
  <c r="W21" i="4"/>
  <c r="AE21" i="4" s="1"/>
  <c r="M13" i="7"/>
  <c r="H13" i="7"/>
  <c r="N13" i="7" s="1"/>
  <c r="R13" i="7" s="1"/>
  <c r="S13" i="7" s="1"/>
  <c r="Z18" i="4"/>
  <c r="M20" i="7"/>
  <c r="H20" i="7"/>
  <c r="N20" i="7" s="1"/>
  <c r="R20" i="7" s="1"/>
  <c r="S20" i="7" s="1"/>
  <c r="R6" i="7"/>
  <c r="S6" i="7" s="1"/>
  <c r="O6" i="7"/>
  <c r="P6" i="7" s="1"/>
  <c r="Q6" i="7" s="1"/>
  <c r="U6" i="7" s="1"/>
  <c r="R12" i="4"/>
  <c r="Z12" i="4" s="1"/>
  <c r="R13" i="4"/>
  <c r="Z13" i="4" s="1"/>
  <c r="V16" i="4"/>
  <c r="AD16" i="4" s="1"/>
  <c r="X8" i="4"/>
  <c r="AF8" i="4" s="1"/>
  <c r="X10" i="4"/>
  <c r="AF10" i="4" s="1"/>
  <c r="V15" i="4"/>
  <c r="AD15" i="4" s="1"/>
  <c r="U7" i="4"/>
  <c r="AC7" i="4" s="1"/>
  <c r="V9" i="4"/>
  <c r="AD9" i="4" s="1"/>
  <c r="T22" i="4"/>
  <c r="AB22" i="4" s="1"/>
  <c r="T3" i="4"/>
  <c r="AB3" i="4" s="1"/>
  <c r="V21" i="4"/>
  <c r="AD21" i="4" s="1"/>
  <c r="X7" i="4"/>
  <c r="AF7" i="4" s="1"/>
  <c r="S19" i="4"/>
  <c r="AA19" i="4" s="1"/>
  <c r="AB18" i="4"/>
  <c r="S11" i="4"/>
  <c r="AA11" i="4" s="1"/>
  <c r="W10" i="4"/>
  <c r="AE10" i="4" s="1"/>
  <c r="V20" i="4"/>
  <c r="AD20" i="4" s="1"/>
  <c r="W20" i="4"/>
  <c r="AE20" i="4" s="1"/>
  <c r="S3" i="4"/>
  <c r="AA3" i="4" s="1"/>
  <c r="V13" i="4"/>
  <c r="AD13" i="4" s="1"/>
  <c r="X11" i="4"/>
  <c r="AF11" i="4" s="1"/>
  <c r="M7" i="7"/>
  <c r="H7" i="7"/>
  <c r="N7" i="7" s="1"/>
  <c r="R7" i="7" s="1"/>
  <c r="S7" i="7" s="1"/>
  <c r="V11" i="4"/>
  <c r="AD11" i="4" s="1"/>
  <c r="R4" i="4"/>
  <c r="Z4" i="4" s="1"/>
  <c r="W4" i="4"/>
  <c r="AE4" i="4" s="1"/>
  <c r="T4" i="4"/>
  <c r="AB4" i="4" s="1"/>
  <c r="S4" i="4"/>
  <c r="AA4" i="4" s="1"/>
  <c r="X9" i="4"/>
  <c r="AF9" i="4" s="1"/>
  <c r="T12" i="4"/>
  <c r="AB12" i="4" s="1"/>
  <c r="O22" i="7"/>
  <c r="P22" i="7" s="1"/>
  <c r="Q22" i="7" s="1"/>
  <c r="U22" i="7" s="1"/>
  <c r="R7" i="4"/>
  <c r="Z7" i="4" s="1"/>
  <c r="O9" i="7"/>
  <c r="P9" i="7" s="1"/>
  <c r="Q9" i="7" s="1"/>
  <c r="U9" i="7" s="1"/>
  <c r="T7" i="4"/>
  <c r="AB7" i="4" s="1"/>
  <c r="S5" i="4"/>
  <c r="AA5" i="4" s="1"/>
  <c r="V5" i="4"/>
  <c r="AD5" i="4" s="1"/>
  <c r="W5" i="4"/>
  <c r="AE5" i="4" s="1"/>
  <c r="R5" i="4"/>
  <c r="Z5" i="4" s="1"/>
  <c r="T15" i="4"/>
  <c r="AB15" i="4" s="1"/>
  <c r="V8" i="4"/>
  <c r="AD8" i="4" s="1"/>
  <c r="AF18" i="4"/>
  <c r="R20" i="4"/>
  <c r="Z20" i="4" s="1"/>
  <c r="O12" i="7"/>
  <c r="P12" i="7" s="1"/>
  <c r="Q12" i="7" s="1"/>
  <c r="U12" i="7" s="1"/>
  <c r="H23" i="7"/>
  <c r="N23" i="7" s="1"/>
  <c r="R23" i="7" s="1"/>
  <c r="R14" i="4"/>
  <c r="Z14" i="4" s="1"/>
  <c r="X16" i="4"/>
  <c r="AF16" i="4" s="1"/>
  <c r="X6" i="4"/>
  <c r="AF6" i="4" s="1"/>
  <c r="W6" i="4"/>
  <c r="AE6" i="4" s="1"/>
  <c r="V6" i="4"/>
  <c r="AD6" i="4" s="1"/>
  <c r="U15" i="4"/>
  <c r="AC15" i="4" s="1"/>
  <c r="U16" i="4"/>
  <c r="AC16" i="4" s="1"/>
  <c r="AC18" i="4"/>
  <c r="O21" i="7" l="1"/>
  <c r="P21" i="7" s="1"/>
  <c r="Q21" i="7" s="1"/>
  <c r="U21" i="7" s="1"/>
  <c r="O14" i="7"/>
  <c r="P14" i="7" s="1"/>
  <c r="Q14" i="7" s="1"/>
  <c r="U14" i="7" s="1"/>
  <c r="O8" i="7"/>
  <c r="P8" i="7" s="1"/>
  <c r="Q8" i="7" s="1"/>
  <c r="U8" i="7" s="1"/>
  <c r="O20" i="7"/>
  <c r="P20" i="7" s="1"/>
  <c r="Q20" i="7" s="1"/>
  <c r="U20" i="7" s="1"/>
  <c r="O13" i="7"/>
  <c r="P13" i="7" s="1"/>
  <c r="Q13" i="7" s="1"/>
  <c r="U13" i="7" s="1"/>
  <c r="O16" i="7"/>
  <c r="P16" i="7" s="1"/>
  <c r="Q16" i="7" s="1"/>
  <c r="U16" i="7" s="1"/>
  <c r="O3" i="7"/>
  <c r="P3" i="7" s="1"/>
  <c r="Q3" i="7" s="1"/>
  <c r="U3" i="7" s="1"/>
  <c r="R15" i="5"/>
  <c r="R12" i="5"/>
  <c r="R11" i="5"/>
  <c r="R10" i="5"/>
  <c r="R16" i="5"/>
  <c r="R22" i="5"/>
  <c r="R14" i="5"/>
  <c r="R19" i="5"/>
  <c r="R17" i="5"/>
  <c r="R7" i="5"/>
  <c r="R8" i="5"/>
  <c r="R21" i="5"/>
  <c r="R20" i="5"/>
  <c r="R18" i="5"/>
  <c r="R9" i="5"/>
  <c r="R6" i="5"/>
  <c r="R3" i="5"/>
  <c r="R5" i="5"/>
  <c r="R4" i="5"/>
  <c r="R13" i="5"/>
  <c r="F57" i="5"/>
  <c r="F61" i="5" s="1"/>
  <c r="O23" i="7"/>
  <c r="P23" i="7" s="1"/>
  <c r="Q23" i="7" s="1"/>
  <c r="U23" i="7" s="1"/>
  <c r="O7" i="7"/>
  <c r="P7" i="7" s="1"/>
  <c r="Q7" i="7" s="1"/>
  <c r="U7" i="7" s="1"/>
  <c r="R22" i="3"/>
  <c r="R21" i="3"/>
  <c r="R20" i="3"/>
  <c r="R14" i="3"/>
  <c r="R6" i="3"/>
  <c r="R11" i="3"/>
  <c r="F63" i="3"/>
  <c r="F67" i="3" s="1"/>
  <c r="R17" i="3"/>
  <c r="R18" i="3"/>
  <c r="R3" i="3"/>
  <c r="R19" i="3"/>
  <c r="R7" i="3"/>
  <c r="R5" i="3"/>
  <c r="R12" i="3"/>
  <c r="R13" i="3"/>
  <c r="R4" i="3"/>
  <c r="R15" i="3"/>
  <c r="R8" i="3"/>
  <c r="R16" i="3"/>
  <c r="R9" i="3"/>
  <c r="R10" i="3"/>
  <c r="Y7" i="3" l="1"/>
  <c r="AG7" i="3" s="1"/>
  <c r="X7" i="3"/>
  <c r="AF7" i="3" s="1"/>
  <c r="W7" i="3"/>
  <c r="AE7" i="3" s="1"/>
  <c r="T7" i="3"/>
  <c r="AB7" i="3" s="1"/>
  <c r="U7" i="3"/>
  <c r="AC7" i="3" s="1"/>
  <c r="S7" i="3"/>
  <c r="AA7" i="3" s="1"/>
  <c r="V7" i="3"/>
  <c r="AD7" i="3" s="1"/>
  <c r="Y14" i="5"/>
  <c r="AG14" i="5" s="1"/>
  <c r="X14" i="5"/>
  <c r="AF14" i="5" s="1"/>
  <c r="W14" i="5"/>
  <c r="AE14" i="5" s="1"/>
  <c r="T14" i="5"/>
  <c r="AB14" i="5" s="1"/>
  <c r="S14" i="5"/>
  <c r="AA14" i="5" s="1"/>
  <c r="V14" i="5"/>
  <c r="AD14" i="5" s="1"/>
  <c r="U14" i="5"/>
  <c r="AC14" i="5" s="1"/>
  <c r="T16" i="3"/>
  <c r="AB16" i="3" s="1"/>
  <c r="S16" i="3"/>
  <c r="AA16" i="3" s="1"/>
  <c r="V16" i="3"/>
  <c r="AD16" i="3" s="1"/>
  <c r="X16" i="3"/>
  <c r="AF16" i="3" s="1"/>
  <c r="Y16" i="3"/>
  <c r="AG16" i="3" s="1"/>
  <c r="U16" i="3"/>
  <c r="AC16" i="3" s="1"/>
  <c r="W16" i="3"/>
  <c r="AE16" i="3" s="1"/>
  <c r="T22" i="3"/>
  <c r="AB22" i="3" s="1"/>
  <c r="V22" i="3"/>
  <c r="AD22" i="3" s="1"/>
  <c r="W22" i="3"/>
  <c r="AE22" i="3" s="1"/>
  <c r="S22" i="3"/>
  <c r="AA22" i="3" s="1"/>
  <c r="U22" i="3"/>
  <c r="AC22" i="3" s="1"/>
  <c r="X22" i="3"/>
  <c r="AF22" i="3" s="1"/>
  <c r="Y22" i="3"/>
  <c r="AG22" i="3" s="1"/>
  <c r="T8" i="5"/>
  <c r="AB8" i="5" s="1"/>
  <c r="U8" i="5"/>
  <c r="AC8" i="5" s="1"/>
  <c r="W8" i="5"/>
  <c r="AE8" i="5" s="1"/>
  <c r="V8" i="5"/>
  <c r="AD8" i="5" s="1"/>
  <c r="Y8" i="5"/>
  <c r="AG8" i="5" s="1"/>
  <c r="S8" i="5"/>
  <c r="AA8" i="5" s="1"/>
  <c r="X8" i="5"/>
  <c r="AF8" i="5" s="1"/>
  <c r="X7" i="5"/>
  <c r="AF7" i="5" s="1"/>
  <c r="S7" i="5"/>
  <c r="AA7" i="5" s="1"/>
  <c r="W7" i="5"/>
  <c r="AE7" i="5" s="1"/>
  <c r="T7" i="5"/>
  <c r="AB7" i="5" s="1"/>
  <c r="U7" i="5"/>
  <c r="AC7" i="5" s="1"/>
  <c r="Y7" i="5"/>
  <c r="AG7" i="5" s="1"/>
  <c r="V7" i="5"/>
  <c r="AD7" i="5" s="1"/>
  <c r="Y13" i="5"/>
  <c r="AG13" i="5" s="1"/>
  <c r="U13" i="5"/>
  <c r="AC13" i="5" s="1"/>
  <c r="T13" i="5"/>
  <c r="AB13" i="5" s="1"/>
  <c r="W13" i="5"/>
  <c r="AE13" i="5" s="1"/>
  <c r="V13" i="5"/>
  <c r="AD13" i="5" s="1"/>
  <c r="S13" i="5"/>
  <c r="AA13" i="5" s="1"/>
  <c r="X13" i="5"/>
  <c r="AF13" i="5" s="1"/>
  <c r="X17" i="3"/>
  <c r="AF17" i="3" s="1"/>
  <c r="Y17" i="3"/>
  <c r="AG17" i="3" s="1"/>
  <c r="W17" i="3"/>
  <c r="AE17" i="3" s="1"/>
  <c r="T17" i="3"/>
  <c r="AB17" i="3" s="1"/>
  <c r="V17" i="3"/>
  <c r="AD17" i="3" s="1"/>
  <c r="S17" i="3"/>
  <c r="AA17" i="3" s="1"/>
  <c r="U17" i="3"/>
  <c r="AC17" i="3" s="1"/>
  <c r="T15" i="3"/>
  <c r="AB15" i="3" s="1"/>
  <c r="S15" i="3"/>
  <c r="AA15" i="3" s="1"/>
  <c r="U15" i="3"/>
  <c r="AC15" i="3" s="1"/>
  <c r="W15" i="3"/>
  <c r="AE15" i="3" s="1"/>
  <c r="Y15" i="3"/>
  <c r="AG15" i="3" s="1"/>
  <c r="V15" i="3"/>
  <c r="AD15" i="3" s="1"/>
  <c r="X15" i="3"/>
  <c r="AF15" i="3" s="1"/>
  <c r="S6" i="5"/>
  <c r="AA6" i="5" s="1"/>
  <c r="U6" i="5"/>
  <c r="AC6" i="5" s="1"/>
  <c r="T6" i="5"/>
  <c r="AB6" i="5" s="1"/>
  <c r="W6" i="5"/>
  <c r="AE6" i="5" s="1"/>
  <c r="V6" i="5"/>
  <c r="AD6" i="5" s="1"/>
  <c r="Y6" i="5"/>
  <c r="AG6" i="5" s="1"/>
  <c r="X6" i="5"/>
  <c r="AF6" i="5" s="1"/>
  <c r="S9" i="5"/>
  <c r="AA9" i="5" s="1"/>
  <c r="X9" i="5"/>
  <c r="AF9" i="5" s="1"/>
  <c r="T9" i="5"/>
  <c r="AB9" i="5" s="1"/>
  <c r="V9" i="5"/>
  <c r="AD9" i="5" s="1"/>
  <c r="U9" i="5"/>
  <c r="AC9" i="5" s="1"/>
  <c r="Y9" i="5"/>
  <c r="AG9" i="5" s="1"/>
  <c r="W9" i="5"/>
  <c r="AE9" i="5" s="1"/>
  <c r="W11" i="5"/>
  <c r="AE11" i="5" s="1"/>
  <c r="Y11" i="5"/>
  <c r="AG11" i="5" s="1"/>
  <c r="U11" i="5"/>
  <c r="AC11" i="5" s="1"/>
  <c r="T11" i="5"/>
  <c r="AB11" i="5" s="1"/>
  <c r="S11" i="5"/>
  <c r="AA11" i="5" s="1"/>
  <c r="X11" i="5"/>
  <c r="AF11" i="5" s="1"/>
  <c r="V11" i="5"/>
  <c r="AD11" i="5" s="1"/>
  <c r="V21" i="5"/>
  <c r="AD21" i="5" s="1"/>
  <c r="T21" i="5"/>
  <c r="AB21" i="5" s="1"/>
  <c r="Y21" i="5"/>
  <c r="AG21" i="5" s="1"/>
  <c r="X21" i="5"/>
  <c r="AF21" i="5" s="1"/>
  <c r="S21" i="5"/>
  <c r="AA21" i="5" s="1"/>
  <c r="U21" i="5"/>
  <c r="AC21" i="5" s="1"/>
  <c r="W21" i="5"/>
  <c r="AE21" i="5" s="1"/>
  <c r="T17" i="5"/>
  <c r="AB17" i="5" s="1"/>
  <c r="Y17" i="5"/>
  <c r="AG17" i="5" s="1"/>
  <c r="U17" i="5"/>
  <c r="AC17" i="5" s="1"/>
  <c r="V17" i="5"/>
  <c r="AD17" i="5" s="1"/>
  <c r="S17" i="5"/>
  <c r="AA17" i="5" s="1"/>
  <c r="X17" i="5"/>
  <c r="AF17" i="5" s="1"/>
  <c r="W17" i="5"/>
  <c r="AE17" i="5" s="1"/>
  <c r="Y18" i="3"/>
  <c r="AG18" i="3" s="1"/>
  <c r="T18" i="3"/>
  <c r="AB18" i="3" s="1"/>
  <c r="V18" i="3"/>
  <c r="AD18" i="3" s="1"/>
  <c r="W18" i="3"/>
  <c r="AE18" i="3" s="1"/>
  <c r="U18" i="3"/>
  <c r="AC18" i="3" s="1"/>
  <c r="X18" i="3"/>
  <c r="AF18" i="3" s="1"/>
  <c r="S18" i="3"/>
  <c r="AA18" i="3" s="1"/>
  <c r="W9" i="3"/>
  <c r="AE9" i="3" s="1"/>
  <c r="T9" i="3"/>
  <c r="AB9" i="3" s="1"/>
  <c r="S9" i="3"/>
  <c r="AA9" i="3" s="1"/>
  <c r="Y9" i="3"/>
  <c r="AG9" i="3" s="1"/>
  <c r="V9" i="3"/>
  <c r="AD9" i="3" s="1"/>
  <c r="U9" i="3"/>
  <c r="AC9" i="3" s="1"/>
  <c r="X9" i="3"/>
  <c r="AF9" i="3" s="1"/>
  <c r="W22" i="5"/>
  <c r="AE22" i="5" s="1"/>
  <c r="U22" i="5"/>
  <c r="AC22" i="5" s="1"/>
  <c r="Y22" i="5"/>
  <c r="AG22" i="5" s="1"/>
  <c r="T22" i="5"/>
  <c r="AB22" i="5" s="1"/>
  <c r="V22" i="5"/>
  <c r="AD22" i="5" s="1"/>
  <c r="S22" i="5"/>
  <c r="AA22" i="5" s="1"/>
  <c r="X22" i="5"/>
  <c r="AF22" i="5" s="1"/>
  <c r="Y11" i="3"/>
  <c r="AG11" i="3" s="1"/>
  <c r="X11" i="3"/>
  <c r="AF11" i="3" s="1"/>
  <c r="T11" i="3"/>
  <c r="AB11" i="3" s="1"/>
  <c r="V11" i="3"/>
  <c r="AD11" i="3" s="1"/>
  <c r="S11" i="3"/>
  <c r="AA11" i="3" s="1"/>
  <c r="U11" i="3"/>
  <c r="AC11" i="3" s="1"/>
  <c r="W11" i="3"/>
  <c r="AE11" i="3" s="1"/>
  <c r="X3" i="5"/>
  <c r="AF3" i="5" s="1"/>
  <c r="V3" i="5"/>
  <c r="AD3" i="5" s="1"/>
  <c r="S3" i="5"/>
  <c r="AA3" i="5" s="1"/>
  <c r="W3" i="5"/>
  <c r="AE3" i="5" s="1"/>
  <c r="Y3" i="5"/>
  <c r="AG3" i="5" s="1"/>
  <c r="U3" i="5"/>
  <c r="AC3" i="5" s="1"/>
  <c r="T3" i="5"/>
  <c r="AB3" i="5" s="1"/>
  <c r="Y10" i="5"/>
  <c r="AG10" i="5" s="1"/>
  <c r="U10" i="5"/>
  <c r="AC10" i="5" s="1"/>
  <c r="W10" i="5"/>
  <c r="AE10" i="5" s="1"/>
  <c r="T10" i="5"/>
  <c r="AB10" i="5" s="1"/>
  <c r="X10" i="5"/>
  <c r="AF10" i="5" s="1"/>
  <c r="V10" i="5"/>
  <c r="AD10" i="5" s="1"/>
  <c r="S10" i="5"/>
  <c r="AA10" i="5" s="1"/>
  <c r="S13" i="3"/>
  <c r="AA13" i="3" s="1"/>
  <c r="U13" i="3"/>
  <c r="AC13" i="3" s="1"/>
  <c r="T13" i="3"/>
  <c r="AB13" i="3" s="1"/>
  <c r="W13" i="3"/>
  <c r="AE13" i="3" s="1"/>
  <c r="Y13" i="3"/>
  <c r="AG13" i="3" s="1"/>
  <c r="V13" i="3"/>
  <c r="AD13" i="3" s="1"/>
  <c r="X13" i="3"/>
  <c r="AF13" i="3" s="1"/>
  <c r="X20" i="3"/>
  <c r="AF20" i="3" s="1"/>
  <c r="Y20" i="3"/>
  <c r="AG20" i="3" s="1"/>
  <c r="V20" i="3"/>
  <c r="AD20" i="3" s="1"/>
  <c r="W20" i="3"/>
  <c r="AE20" i="3" s="1"/>
  <c r="T20" i="3"/>
  <c r="AB20" i="3" s="1"/>
  <c r="U20" i="3"/>
  <c r="AC20" i="3" s="1"/>
  <c r="S20" i="3"/>
  <c r="AA20" i="3" s="1"/>
  <c r="U18" i="5"/>
  <c r="AC18" i="5" s="1"/>
  <c r="S18" i="5"/>
  <c r="AA18" i="5" s="1"/>
  <c r="X18" i="5"/>
  <c r="AF18" i="5" s="1"/>
  <c r="W18" i="5"/>
  <c r="AE18" i="5" s="1"/>
  <c r="V18" i="5"/>
  <c r="AD18" i="5" s="1"/>
  <c r="Y18" i="5"/>
  <c r="AG18" i="5" s="1"/>
  <c r="T18" i="5"/>
  <c r="AB18" i="5" s="1"/>
  <c r="Y12" i="5"/>
  <c r="AG12" i="5" s="1"/>
  <c r="S12" i="5"/>
  <c r="AA12" i="5" s="1"/>
  <c r="T12" i="5"/>
  <c r="AB12" i="5" s="1"/>
  <c r="U12" i="5"/>
  <c r="AC12" i="5" s="1"/>
  <c r="W12" i="5"/>
  <c r="AE12" i="5" s="1"/>
  <c r="V12" i="5"/>
  <c r="AD12" i="5" s="1"/>
  <c r="X12" i="5"/>
  <c r="AF12" i="5" s="1"/>
  <c r="Y5" i="3"/>
  <c r="AG5" i="3" s="1"/>
  <c r="W5" i="3"/>
  <c r="AE5" i="3" s="1"/>
  <c r="T5" i="3"/>
  <c r="AB5" i="3" s="1"/>
  <c r="X5" i="3"/>
  <c r="AF5" i="3" s="1"/>
  <c r="U5" i="3"/>
  <c r="AC5" i="3" s="1"/>
  <c r="S5" i="3"/>
  <c r="AA5" i="3" s="1"/>
  <c r="V5" i="3"/>
  <c r="AD5" i="3" s="1"/>
  <c r="T19" i="3"/>
  <c r="AB19" i="3" s="1"/>
  <c r="S19" i="3"/>
  <c r="AA19" i="3" s="1"/>
  <c r="U19" i="3"/>
  <c r="AC19" i="3" s="1"/>
  <c r="X19" i="3"/>
  <c r="AF19" i="3" s="1"/>
  <c r="V19" i="3"/>
  <c r="AD19" i="3" s="1"/>
  <c r="W19" i="3"/>
  <c r="AE19" i="3" s="1"/>
  <c r="Y19" i="3"/>
  <c r="AG19" i="3" s="1"/>
  <c r="W3" i="3"/>
  <c r="AE3" i="3" s="1"/>
  <c r="T3" i="3"/>
  <c r="AB3" i="3" s="1"/>
  <c r="S3" i="3"/>
  <c r="AA3" i="3" s="1"/>
  <c r="X3" i="3"/>
  <c r="AF3" i="3" s="1"/>
  <c r="V3" i="3"/>
  <c r="AD3" i="3" s="1"/>
  <c r="Y3" i="3"/>
  <c r="AG3" i="3" s="1"/>
  <c r="U3" i="3"/>
  <c r="AC3" i="3" s="1"/>
  <c r="U10" i="3"/>
  <c r="AC10" i="3" s="1"/>
  <c r="Y10" i="3"/>
  <c r="AG10" i="3" s="1"/>
  <c r="X10" i="3"/>
  <c r="AF10" i="3" s="1"/>
  <c r="S10" i="3"/>
  <c r="AA10" i="3" s="1"/>
  <c r="T10" i="3"/>
  <c r="AB10" i="3" s="1"/>
  <c r="V10" i="3"/>
  <c r="AD10" i="3" s="1"/>
  <c r="W10" i="3"/>
  <c r="AE10" i="3" s="1"/>
  <c r="V19" i="5"/>
  <c r="AD19" i="5" s="1"/>
  <c r="T19" i="5"/>
  <c r="AB19" i="5" s="1"/>
  <c r="X19" i="5"/>
  <c r="AF19" i="5" s="1"/>
  <c r="W19" i="5"/>
  <c r="AE19" i="5" s="1"/>
  <c r="Y19" i="5"/>
  <c r="AG19" i="5" s="1"/>
  <c r="S19" i="5"/>
  <c r="AA19" i="5" s="1"/>
  <c r="U19" i="5"/>
  <c r="AC19" i="5" s="1"/>
  <c r="U4" i="5"/>
  <c r="AC4" i="5" s="1"/>
  <c r="T4" i="5"/>
  <c r="AB4" i="5" s="1"/>
  <c r="S4" i="5"/>
  <c r="AA4" i="5" s="1"/>
  <c r="Y4" i="5"/>
  <c r="AG4" i="5" s="1"/>
  <c r="V4" i="5"/>
  <c r="AD4" i="5" s="1"/>
  <c r="W4" i="5"/>
  <c r="AE4" i="5" s="1"/>
  <c r="X4" i="5"/>
  <c r="AF4" i="5" s="1"/>
  <c r="X5" i="5"/>
  <c r="AF5" i="5" s="1"/>
  <c r="V5" i="5"/>
  <c r="AD5" i="5" s="1"/>
  <c r="T5" i="5"/>
  <c r="AB5" i="5" s="1"/>
  <c r="W5" i="5"/>
  <c r="AE5" i="5" s="1"/>
  <c r="S5" i="5"/>
  <c r="AA5" i="5" s="1"/>
  <c r="U5" i="5"/>
  <c r="AC5" i="5" s="1"/>
  <c r="Y5" i="5"/>
  <c r="AG5" i="5" s="1"/>
  <c r="S8" i="3"/>
  <c r="AA8" i="3" s="1"/>
  <c r="Y8" i="3"/>
  <c r="AG8" i="3" s="1"/>
  <c r="W8" i="3"/>
  <c r="AE8" i="3" s="1"/>
  <c r="X8" i="3"/>
  <c r="AF8" i="3" s="1"/>
  <c r="T8" i="3"/>
  <c r="AB8" i="3" s="1"/>
  <c r="U8" i="3"/>
  <c r="AC8" i="3" s="1"/>
  <c r="V8" i="3"/>
  <c r="AD8" i="3" s="1"/>
  <c r="X16" i="5"/>
  <c r="AF16" i="5" s="1"/>
  <c r="S16" i="5"/>
  <c r="AA16" i="5" s="1"/>
  <c r="V16" i="5"/>
  <c r="AD16" i="5" s="1"/>
  <c r="T16" i="5"/>
  <c r="AB16" i="5" s="1"/>
  <c r="U16" i="5"/>
  <c r="AC16" i="5" s="1"/>
  <c r="W16" i="5"/>
  <c r="AE16" i="5" s="1"/>
  <c r="Y16" i="5"/>
  <c r="AG16" i="5" s="1"/>
  <c r="U6" i="3"/>
  <c r="AC6" i="3" s="1"/>
  <c r="X6" i="3"/>
  <c r="AF6" i="3" s="1"/>
  <c r="Y6" i="3"/>
  <c r="AG6" i="3" s="1"/>
  <c r="W6" i="3"/>
  <c r="AE6" i="3" s="1"/>
  <c r="T6" i="3"/>
  <c r="AB6" i="3" s="1"/>
  <c r="V6" i="3"/>
  <c r="AD6" i="3" s="1"/>
  <c r="S6" i="3"/>
  <c r="AA6" i="3" s="1"/>
  <c r="S4" i="3"/>
  <c r="AA4" i="3" s="1"/>
  <c r="X4" i="3"/>
  <c r="AF4" i="3" s="1"/>
  <c r="U4" i="3"/>
  <c r="AC4" i="3" s="1"/>
  <c r="T4" i="3"/>
  <c r="AB4" i="3" s="1"/>
  <c r="W4" i="3"/>
  <c r="AE4" i="3" s="1"/>
  <c r="V4" i="3"/>
  <c r="AD4" i="3" s="1"/>
  <c r="Y4" i="3"/>
  <c r="AG4" i="3" s="1"/>
  <c r="S14" i="3"/>
  <c r="AA14" i="3" s="1"/>
  <c r="U14" i="3"/>
  <c r="AC14" i="3" s="1"/>
  <c r="Y14" i="3"/>
  <c r="AG14" i="3" s="1"/>
  <c r="T14" i="3"/>
  <c r="AB14" i="3" s="1"/>
  <c r="V14" i="3"/>
  <c r="AD14" i="3" s="1"/>
  <c r="X14" i="3"/>
  <c r="AF14" i="3" s="1"/>
  <c r="W14" i="3"/>
  <c r="AE14" i="3" s="1"/>
  <c r="S12" i="3"/>
  <c r="AA12" i="3" s="1"/>
  <c r="T12" i="3"/>
  <c r="AB12" i="3" s="1"/>
  <c r="W12" i="3"/>
  <c r="AE12" i="3" s="1"/>
  <c r="Y12" i="3"/>
  <c r="AG12" i="3" s="1"/>
  <c r="X12" i="3"/>
  <c r="AF12" i="3" s="1"/>
  <c r="U12" i="3"/>
  <c r="AC12" i="3" s="1"/>
  <c r="V12" i="3"/>
  <c r="AD12" i="3" s="1"/>
  <c r="U21" i="3"/>
  <c r="AC21" i="3" s="1"/>
  <c r="V21" i="3"/>
  <c r="AD21" i="3" s="1"/>
  <c r="Y21" i="3"/>
  <c r="AG21" i="3" s="1"/>
  <c r="S21" i="3"/>
  <c r="AA21" i="3" s="1"/>
  <c r="T21" i="3"/>
  <c r="AB21" i="3" s="1"/>
  <c r="X21" i="3"/>
  <c r="AF21" i="3" s="1"/>
  <c r="W21" i="3"/>
  <c r="AE21" i="3" s="1"/>
  <c r="U20" i="5"/>
  <c r="AC20" i="5" s="1"/>
  <c r="S20" i="5"/>
  <c r="AA20" i="5" s="1"/>
  <c r="X20" i="5"/>
  <c r="AF20" i="5" s="1"/>
  <c r="W20" i="5"/>
  <c r="AE20" i="5" s="1"/>
  <c r="T20" i="5"/>
  <c r="AB20" i="5" s="1"/>
  <c r="Y20" i="5"/>
  <c r="AG20" i="5" s="1"/>
  <c r="V20" i="5"/>
  <c r="AD20" i="5" s="1"/>
  <c r="S15" i="5"/>
  <c r="AA15" i="5" s="1"/>
  <c r="U15" i="5"/>
  <c r="AC15" i="5" s="1"/>
  <c r="Y15" i="5"/>
  <c r="AG15" i="5" s="1"/>
  <c r="T15" i="5"/>
  <c r="AB15" i="5" s="1"/>
  <c r="W15" i="5"/>
  <c r="AE15" i="5" s="1"/>
  <c r="V15" i="5"/>
  <c r="AD15" i="5" s="1"/>
  <c r="X15" i="5"/>
  <c r="AF15" i="5" s="1"/>
</calcChain>
</file>

<file path=xl/sharedStrings.xml><?xml version="1.0" encoding="utf-8"?>
<sst xmlns="http://schemas.openxmlformats.org/spreadsheetml/2006/main" count="1680" uniqueCount="297">
  <si>
    <t>Solar Proportion</t>
  </si>
  <si>
    <t>Total Panels</t>
  </si>
  <si>
    <t>DataLot</t>
  </si>
  <si>
    <t>Region of AL</t>
  </si>
  <si>
    <t>ZIPCODE</t>
  </si>
  <si>
    <t>Array Type</t>
  </si>
  <si>
    <t>DC System Size (kW)</t>
  </si>
  <si>
    <t>Energy (kWh/Year)</t>
  </si>
  <si>
    <t>Northern</t>
  </si>
  <si>
    <t>FixedOpen</t>
  </si>
  <si>
    <t>Black Belt</t>
  </si>
  <si>
    <t>1AxisRot</t>
  </si>
  <si>
    <t>Southern</t>
  </si>
  <si>
    <t>Central</t>
  </si>
  <si>
    <t>AV Types</t>
  </si>
  <si>
    <t>Item</t>
  </si>
  <si>
    <t>Cost ($/W)</t>
  </si>
  <si>
    <t>Panel Height (ft.)</t>
  </si>
  <si>
    <t>Total Cost ($/W)</t>
  </si>
  <si>
    <t>Typical Fixed PV</t>
  </si>
  <si>
    <t>EPC/Developer Net Profit</t>
  </si>
  <si>
    <t>Developer Overhead</t>
  </si>
  <si>
    <t>Contingency(3%)</t>
  </si>
  <si>
    <t>Interconnection Fee</t>
  </si>
  <si>
    <t>Permitting Fee (if any)</t>
  </si>
  <si>
    <t>Sale Tax (if any)</t>
  </si>
  <si>
    <t>EPC Overhead</t>
  </si>
  <si>
    <t>Installation and Labor Cost</t>
  </si>
  <si>
    <t>Electrical BOS</t>
  </si>
  <si>
    <t>Structural BOS</t>
  </si>
  <si>
    <t>Inverter Only</t>
  </si>
  <si>
    <t>Module</t>
  </si>
  <si>
    <t>Typical 1-AT PV</t>
  </si>
  <si>
    <t>Fixed PV + Grazing</t>
  </si>
  <si>
    <t>Tracker PV + Grazing</t>
  </si>
  <si>
    <t>Fixed PV + Pollinator</t>
  </si>
  <si>
    <t>Tracker PV + Pollinator</t>
  </si>
  <si>
    <t>PV + Crops (Vertical Mount)</t>
  </si>
  <si>
    <t>PV + Crops (Tracker Stilt Mount)</t>
  </si>
  <si>
    <t xml:space="preserve">PV + Crops (Tracker Stilt Mount)     </t>
  </si>
  <si>
    <t>PV + Crops (Reinforced Regular Mount)</t>
  </si>
  <si>
    <t>Source: https://www.nrel.gov/docs/fy21osti/77811.pdf#page=1.00&amp;gsr=0</t>
  </si>
  <si>
    <t>For concept demonstration purpose only. Ratio scale is inaccurate.</t>
  </si>
  <si>
    <t>Length of Side (X) = 208.71 ft.</t>
  </si>
  <si>
    <t>S. Panels</t>
  </si>
  <si>
    <t>Space</t>
  </si>
  <si>
    <t>Spacing</t>
  </si>
  <si>
    <t>Length of Side (Y) = 208.71</t>
  </si>
  <si>
    <t>High Value Crops (e.g., tomato and strawberry)</t>
  </si>
  <si>
    <t>3.5ft</t>
  </si>
  <si>
    <t>Region</t>
  </si>
  <si>
    <t>Northern AL</t>
  </si>
  <si>
    <t>Central AL</t>
  </si>
  <si>
    <t>Blackbelt AL</t>
  </si>
  <si>
    <t>Southern AL</t>
  </si>
  <si>
    <t>7.75 ft</t>
  </si>
  <si>
    <t>7.75ft</t>
  </si>
  <si>
    <t>Spacing between solar panels varies with the panel density only.</t>
  </si>
  <si>
    <t>Birdeye view of agrivoltaic plot with crops underneath and next to</t>
  </si>
  <si>
    <t xml:space="preserve"> solar panels. Crops on the space are visible in this birdeye view.</t>
  </si>
  <si>
    <t>There is no walking or passage within the 1 acre of plot.</t>
  </si>
  <si>
    <t>Solar</t>
  </si>
  <si>
    <t>Open Spacing in-between Panels</t>
  </si>
  <si>
    <t>Total Area (Acre)</t>
  </si>
  <si>
    <t>Total Area (Sq. Ft.)</t>
  </si>
  <si>
    <t>Solar Proportion Area (Sq. Ft.)</t>
  </si>
  <si>
    <t>Solar Proportion Area (Sq.M.)</t>
  </si>
  <si>
    <t>Side Length (ft.)</t>
  </si>
  <si>
    <t>YSide Length (ft.)</t>
  </si>
  <si>
    <t>XSide length (ft.)</t>
  </si>
  <si>
    <t>Panel Length (ft.)</t>
  </si>
  <si>
    <t>Row Seperator (ft.)</t>
  </si>
  <si>
    <t>Panel Width(ft.)</t>
  </si>
  <si>
    <t>Panel Area (Sq. ft.)</t>
  </si>
  <si>
    <t>Panels/Row</t>
  </si>
  <si>
    <t>Total Rows</t>
  </si>
  <si>
    <t>Array Area (Sq. Ft.)</t>
  </si>
  <si>
    <t>Array Area (Sq. M.)</t>
  </si>
  <si>
    <t>XSide Open Length (ft)</t>
  </si>
  <si>
    <t>Inter Panel Spacing (ft)</t>
  </si>
  <si>
    <t>Panel Efficienfy</t>
  </si>
  <si>
    <t>NA</t>
  </si>
  <si>
    <t>Enterprise Planning Budget Summary</t>
  </si>
  <si>
    <t>ALABAMA 2021</t>
  </si>
  <si>
    <t>RETURN TO OPERATOR LABOR, LAND, CAPITAL</t>
  </si>
  <si>
    <t>RETURNS TO LAND AND CAPITAL</t>
  </si>
  <si>
    <t>Yield Variation (%)</t>
  </si>
  <si>
    <t>Yield</t>
  </si>
  <si>
    <t>Rev11</t>
  </si>
  <si>
    <t>Rev12</t>
  </si>
  <si>
    <t>Rev13</t>
  </si>
  <si>
    <t>Rev14</t>
  </si>
  <si>
    <t>Rev15</t>
  </si>
  <si>
    <t>Rev16</t>
  </si>
  <si>
    <t>Rev17</t>
  </si>
  <si>
    <t>Total Cost</t>
  </si>
  <si>
    <t>rolac11</t>
  </si>
  <si>
    <t>rolac12</t>
  </si>
  <si>
    <t>rolac13</t>
  </si>
  <si>
    <t>rolac14</t>
  </si>
  <si>
    <t>rolac15</t>
  </si>
  <si>
    <t>rolac16</t>
  </si>
  <si>
    <t>rolac17</t>
  </si>
  <si>
    <t>Operator Cost</t>
  </si>
  <si>
    <t>rlc11</t>
  </si>
  <si>
    <t>rlc12</t>
  </si>
  <si>
    <t>rlc13</t>
  </si>
  <si>
    <t>rlc14</t>
  </si>
  <si>
    <t>rlc15</t>
  </si>
  <si>
    <t>rlc16</t>
  </si>
  <si>
    <t>rlc17</t>
  </si>
  <si>
    <t>SUMMER SQUASH</t>
  </si>
  <si>
    <t>IRRIGATED, HAND HARVESTED, FRESH MARKET</t>
  </si>
  <si>
    <t>Note: To customize this budget, you can change the numbers in blue</t>
  </si>
  <si>
    <t xml:space="preserve">Reminder: Your costs and returns will vary. The values listed are intended for use in planning. </t>
  </si>
  <si>
    <t>ESTIMATED COSTS PER ACRE:</t>
  </si>
  <si>
    <t>UNIT</t>
  </si>
  <si>
    <t>QUANTITY</t>
  </si>
  <si>
    <t>COST/UNIT</t>
  </si>
  <si>
    <t>TOTAL PER ACRE</t>
  </si>
  <si>
    <t>YOUR FARM</t>
  </si>
  <si>
    <t>TOTAL RECEIPTS</t>
  </si>
  <si>
    <t xml:space="preserve">(SQUASH (1/2 BU.) (Revenue) </t>
  </si>
  <si>
    <t xml:space="preserve">CARTON </t>
  </si>
  <si>
    <t>VARIABLE COSTS</t>
  </si>
  <si>
    <t>PRE-HARVEST</t>
  </si>
  <si>
    <t>SOIL TEST</t>
  </si>
  <si>
    <t>ACRE</t>
  </si>
  <si>
    <t>SEED</t>
  </si>
  <si>
    <t>LBS</t>
  </si>
  <si>
    <t>LIME</t>
  </si>
  <si>
    <t>TON</t>
  </si>
  <si>
    <t>FERTILIZER</t>
  </si>
  <si>
    <t xml:space="preserve">     NITROGEN</t>
  </si>
  <si>
    <t xml:space="preserve"> PHOSPHORUS</t>
  </si>
  <si>
    <t xml:space="preserve">     POTASSIUM</t>
  </si>
  <si>
    <t>MACHINERY (PRE-HARVEST)</t>
  </si>
  <si>
    <t>HERBICIDES</t>
  </si>
  <si>
    <t>INSECTICIDES</t>
  </si>
  <si>
    <t>FUNGICIDES</t>
  </si>
  <si>
    <t>IRRIGATION SUPPLIES</t>
  </si>
  <si>
    <t>PLASTIC MULCH</t>
  </si>
  <si>
    <t>ROLL</t>
  </si>
  <si>
    <t>DRIP TAPE</t>
  </si>
  <si>
    <t>RURAL WATER</t>
  </si>
  <si>
    <t>IN.-ACRE</t>
  </si>
  <si>
    <t>LAND RENT</t>
  </si>
  <si>
    <t>CROP INSURANCE</t>
  </si>
  <si>
    <t>HARVEST:</t>
  </si>
  <si>
    <t>POST HARVEST MACHINERY</t>
  </si>
  <si>
    <t>HARVEST LABOR*</t>
  </si>
  <si>
    <t>HOURS</t>
  </si>
  <si>
    <t>HARVEST BOXES</t>
  </si>
  <si>
    <t>EACH</t>
  </si>
  <si>
    <t>BUCKETS</t>
  </si>
  <si>
    <t>MARKETING</t>
  </si>
  <si>
    <t>BOX</t>
  </si>
  <si>
    <t>INTEREST ON OPERATING CAPITAL</t>
  </si>
  <si>
    <t>DOLLARS</t>
  </si>
  <si>
    <t>TOTAL VARIABLE COSTS</t>
  </si>
  <si>
    <t>INCOME ABOVE VARIABLE COSTS</t>
  </si>
  <si>
    <t>Total Profit</t>
  </si>
  <si>
    <t>FIXED COSTS</t>
  </si>
  <si>
    <t>IRRIGATION DEPRECIATION</t>
  </si>
  <si>
    <t>MISC. OVERHEAD</t>
  </si>
  <si>
    <t>LAND OWNERSHIP</t>
  </si>
  <si>
    <t>MACHINERY</t>
  </si>
  <si>
    <t>(DEPRECIATION, INTEREST, TAXES, INSURANCE)</t>
  </si>
  <si>
    <t>TOTAL FIXED COSTS</t>
  </si>
  <si>
    <t>TOTAL COSTS</t>
  </si>
  <si>
    <t>OPERATOR LABOR</t>
  </si>
  <si>
    <t>*2021  H2-A labor rates used when applicable</t>
  </si>
  <si>
    <t>INCOME ABOVE VARIBLE COSTS WITH VARYING PRICES AND YIELDS</t>
  </si>
  <si>
    <t>YIELD IN CARTONS</t>
  </si>
  <si>
    <t>PRICE PER BOX</t>
  </si>
  <si>
    <t>(-15%)</t>
  </si>
  <si>
    <t>(-10%)</t>
  </si>
  <si>
    <t>PROJECTED:</t>
  </si>
  <si>
    <t>(+10%)</t>
  </si>
  <si>
    <t>(+15%)</t>
  </si>
  <si>
    <r>
      <rPr>
        <b/>
        <sz val="10"/>
        <color rgb="FF203864"/>
        <rFont val="Calibri (Body)"/>
        <family val="2"/>
      </rPr>
      <t xml:space="preserve">The Alabama Cooperative Extension System (Alabama A&amp;M University and Auburn University) is an equal opportunity educator and employer. Everyone is welcome! Please let us know if you have accessibility needs. </t>
    </r>
    <r>
      <rPr>
        <sz val="10"/>
        <color rgb="FF203864"/>
        <rFont val="Calibri (Body)"/>
        <family val="2"/>
      </rPr>
      <t>©</t>
    </r>
    <r>
      <rPr>
        <b/>
        <sz val="10"/>
        <color rgb="FF203864"/>
        <rFont val="Calibri (Body)"/>
        <family val="2"/>
      </rPr>
      <t xml:space="preserve"> 2021 by the Alabama Cooperative Extension System.</t>
    </r>
  </si>
  <si>
    <t>www.aces.edu</t>
  </si>
  <si>
    <t>Summary of  estimated costs and returns per acre  Strawberry, fresh market , irrigated, 6 spacing , 16gpm , 7260 ft of drip tape, Alabama</t>
  </si>
  <si>
    <t>Rev3</t>
  </si>
  <si>
    <t>Rev4</t>
  </si>
  <si>
    <t>Rev5</t>
  </si>
  <si>
    <t>Rev6</t>
  </si>
  <si>
    <t>Rev7</t>
  </si>
  <si>
    <t>Rev8</t>
  </si>
  <si>
    <t>Rev9</t>
  </si>
  <si>
    <t>rolac3</t>
  </si>
  <si>
    <t>rolac4</t>
  </si>
  <si>
    <t>rolac5</t>
  </si>
  <si>
    <t>rolac6</t>
  </si>
  <si>
    <t>rolac7</t>
  </si>
  <si>
    <t>rolac8</t>
  </si>
  <si>
    <t>rolac9</t>
  </si>
  <si>
    <t>rlc3</t>
  </si>
  <si>
    <t>rlc4</t>
  </si>
  <si>
    <t>rlc5</t>
  </si>
  <si>
    <t>rlc6</t>
  </si>
  <si>
    <t>rlc7</t>
  </si>
  <si>
    <t>rlc8</t>
  </si>
  <si>
    <t>rlc9</t>
  </si>
  <si>
    <t xml:space="preserve">ITEM </t>
  </si>
  <si>
    <t>unit</t>
  </si>
  <si>
    <t>Price ($)</t>
  </si>
  <si>
    <t xml:space="preserve">quantity </t>
  </si>
  <si>
    <t>Amount ($)</t>
  </si>
  <si>
    <t xml:space="preserve">Income </t>
  </si>
  <si>
    <t>Varies</t>
  </si>
  <si>
    <t>Total income</t>
  </si>
  <si>
    <t>DIRECT EXPENSES</t>
  </si>
  <si>
    <t>seed/ plants</t>
  </si>
  <si>
    <t xml:space="preserve">acre </t>
  </si>
  <si>
    <t>Fertilizer</t>
  </si>
  <si>
    <t xml:space="preserve">Fungicide </t>
  </si>
  <si>
    <t>herbicide</t>
  </si>
  <si>
    <t>insecticide</t>
  </si>
  <si>
    <t>marketing supplies</t>
  </si>
  <si>
    <t>irrigated supplies</t>
  </si>
  <si>
    <t>plastic mulch</t>
  </si>
  <si>
    <t xml:space="preserve">Field Management </t>
  </si>
  <si>
    <t>Hand labor</t>
  </si>
  <si>
    <t>Harvest labor</t>
  </si>
  <si>
    <t>irrigated labor</t>
  </si>
  <si>
    <t>operator labor</t>
  </si>
  <si>
    <t>planting labor</t>
  </si>
  <si>
    <t>diesel Fuel</t>
  </si>
  <si>
    <t>Repair &amp; maintenace</t>
  </si>
  <si>
    <t>interest on op. CAP</t>
  </si>
  <si>
    <t>TOTAL DIRECT EXPENSES</t>
  </si>
  <si>
    <t>Total fixed expenses</t>
  </si>
  <si>
    <t>Total Specified Expenses (Fixed and Variable Costs)</t>
  </si>
  <si>
    <t>Operator Labor Cost</t>
  </si>
  <si>
    <t>Hours</t>
  </si>
  <si>
    <t>Expense to Land and Capital (All Costs)</t>
  </si>
  <si>
    <t>Note: cost of production estimate are based on 2018 input prices.</t>
  </si>
  <si>
    <t xml:space="preserve">Yield (Buckets) = </t>
  </si>
  <si>
    <t>Labor cost ($/Hr)=</t>
  </si>
  <si>
    <t>Bucket cost/Piece =</t>
  </si>
  <si>
    <t>Total bucket needed =</t>
  </si>
  <si>
    <t xml:space="preserve">Total Hours for harvesting = </t>
  </si>
  <si>
    <t>Verifying Calculations</t>
  </si>
  <si>
    <t xml:space="preserve">Revenue @ $6/Bucket for 100% Yield = </t>
  </si>
  <si>
    <t xml:space="preserve">Rolac @$6/Bucket for 100% Yield = </t>
  </si>
  <si>
    <t xml:space="preserve">Rlc @6/Bucket for 100% Yield = </t>
  </si>
  <si>
    <t xml:space="preserve">Cost of Bucket = </t>
  </si>
  <si>
    <t>Total Specified Cost with Bucket =</t>
  </si>
  <si>
    <t>Land and Capital Cost with Bucket =</t>
  </si>
  <si>
    <t>Land and Capital Cost Without Bucket =</t>
  </si>
  <si>
    <t>rolac @$5 from simulated table without bucket cost =</t>
  </si>
  <si>
    <t xml:space="preserve">rolac @$4 from simulated table without bucket cost = </t>
  </si>
  <si>
    <t>Rev18</t>
  </si>
  <si>
    <t>Rev19</t>
  </si>
  <si>
    <t>Rev20</t>
  </si>
  <si>
    <t>Rev21</t>
  </si>
  <si>
    <t>Rev22</t>
  </si>
  <si>
    <t>Rev23</t>
  </si>
  <si>
    <t>rolac18</t>
  </si>
  <si>
    <t>rolac19</t>
  </si>
  <si>
    <t>rolac20</t>
  </si>
  <si>
    <t>rolac21</t>
  </si>
  <si>
    <t>rolac22</t>
  </si>
  <si>
    <t>rolac23</t>
  </si>
  <si>
    <t>rlc18</t>
  </si>
  <si>
    <t>rlc19</t>
  </si>
  <si>
    <t>rlc20</t>
  </si>
  <si>
    <t>rlc21</t>
  </si>
  <si>
    <t>rlc22</t>
  </si>
  <si>
    <t>rlc223</t>
  </si>
  <si>
    <t>TOMATOES</t>
  </si>
  <si>
    <t xml:space="preserve"> IRRIGATED, PLASTICULTURE, HAND HARVESTED, FRESH MARKET</t>
  </si>
  <si>
    <t>Total  PER</t>
  </si>
  <si>
    <t>COST PER UNIT</t>
  </si>
  <si>
    <t>TOMATOES (25 lbs)</t>
  </si>
  <si>
    <t>CARTON</t>
  </si>
  <si>
    <t>TRANSPLANTS</t>
  </si>
  <si>
    <t>FERTILIZER (BROADCAST)</t>
  </si>
  <si>
    <t>NITROGEN</t>
  </si>
  <si>
    <t>PHOSPHORUS</t>
  </si>
  <si>
    <t>POTASSIUM</t>
  </si>
  <si>
    <t>FERTIGATION</t>
  </si>
  <si>
    <t xml:space="preserve">CALCIUM NITRATE   </t>
  </si>
  <si>
    <t>PRE-HARVEST LABOR</t>
  </si>
  <si>
    <t>HOUR</t>
  </si>
  <si>
    <t>WOOD STAKES</t>
  </si>
  <si>
    <t>TWINE</t>
  </si>
  <si>
    <t xml:space="preserve">POST HARVEST MACHINERY </t>
  </si>
  <si>
    <t>Electricity Price ($/kWh)</t>
  </si>
  <si>
    <t>Height (ft.)</t>
  </si>
  <si>
    <t>Capex ($/W)</t>
  </si>
  <si>
    <t>Tracker</t>
  </si>
  <si>
    <t>Yes</t>
  </si>
  <si>
    <t>No</t>
  </si>
  <si>
    <t>Zipcode 1</t>
  </si>
  <si>
    <t>Zipcode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</si>
</sst>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#,##0%"/>
  </numFmts>
  <fonts count="2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66FF"/>
      <name val="Calibri"/>
      <family val="2"/>
    </font>
    <font>
      <u/>
      <sz val="11"/>
      <color rgb="FF000000"/>
      <name val="Calibri"/>
      <family val="2"/>
    </font>
    <font>
      <sz val="11"/>
      <color rgb="FF0066FF"/>
      <name val="Calibri"/>
      <family val="2"/>
    </font>
    <font>
      <b/>
      <u/>
      <sz val="11"/>
      <color rgb="FF000000"/>
      <name val="Calibri"/>
      <family val="2"/>
    </font>
    <font>
      <b/>
      <sz val="10"/>
      <color rgb="FF203864"/>
      <name val="Calibri (Body)"/>
      <family val="2"/>
    </font>
    <font>
      <b/>
      <sz val="8"/>
      <color rgb="FF203864"/>
      <name val="Calibri"/>
      <family val="2"/>
    </font>
    <font>
      <b/>
      <sz val="11"/>
      <color rgb="FF000000"/>
      <name val="Times New Roman"/>
      <family val="2"/>
    </font>
    <font>
      <sz val="11"/>
      <color rgb="FF000000"/>
      <name val="Times New Roman"/>
      <family val="2"/>
    </font>
    <font>
      <sz val="11"/>
      <color rgb="FFFF0000"/>
      <name val="Times New Roman"/>
      <family val="2"/>
    </font>
    <font>
      <sz val="11"/>
      <color theme="1"/>
      <name val="Calibri"/>
      <family val="2"/>
    </font>
    <font>
      <sz val="10"/>
      <color rgb="FF203864"/>
      <name val="Calibri (Body)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2"/>
      <color theme="1"/>
      <name val="Calibri (Body)"/>
    </font>
    <font>
      <b/>
      <sz val="12"/>
      <color rgb="FF000000"/>
      <name val="Calibri (Body)"/>
    </font>
    <font>
      <b/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595959"/>
      </patternFill>
    </fill>
    <fill>
      <patternFill patternType="solid">
        <fgColor rgb="FF92D050"/>
      </patternFill>
    </fill>
    <fill>
      <patternFill patternType="solid">
        <fgColor rgb="FFED7D31"/>
      </patternFill>
    </fill>
    <fill>
      <patternFill patternType="solid">
        <fgColor rgb="FFFFFF00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6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4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0" fillId="0" borderId="0" xfId="0" applyNumberFormat="1"/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7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left"/>
    </xf>
    <xf numFmtId="7" fontId="3" fillId="0" borderId="26" xfId="0" applyNumberFormat="1" applyFont="1" applyBorder="1" applyAlignment="1">
      <alignment horizontal="right" wrapText="1"/>
    </xf>
    <xf numFmtId="7" fontId="2" fillId="0" borderId="26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7" fontId="3" fillId="0" borderId="1" xfId="0" applyNumberFormat="1" applyFont="1" applyBorder="1" applyAlignment="1">
      <alignment horizontal="right"/>
    </xf>
    <xf numFmtId="4" fontId="8" fillId="0" borderId="1" xfId="0" applyNumberFormat="1" applyFont="1" applyBorder="1" applyAlignment="1">
      <alignment horizontal="right"/>
    </xf>
    <xf numFmtId="7" fontId="8" fillId="0" borderId="1" xfId="0" applyNumberFormat="1" applyFont="1" applyBorder="1" applyAlignment="1">
      <alignment horizontal="right"/>
    </xf>
    <xf numFmtId="7" fontId="3" fillId="3" borderId="12" xfId="0" applyNumberFormat="1" applyFont="1" applyFill="1" applyBorder="1" applyAlignment="1">
      <alignment horizontal="right"/>
    </xf>
    <xf numFmtId="7" fontId="3" fillId="0" borderId="26" xfId="0" applyNumberFormat="1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1" fontId="3" fillId="4" borderId="12" xfId="0" applyNumberFormat="1" applyFont="1" applyFill="1" applyBorder="1" applyAlignment="1">
      <alignment horizontal="left"/>
    </xf>
    <xf numFmtId="7" fontId="3" fillId="4" borderId="12" xfId="0" applyNumberFormat="1" applyFont="1" applyFill="1" applyBorder="1" applyAlignment="1">
      <alignment horizontal="left"/>
    </xf>
    <xf numFmtId="4" fontId="8" fillId="4" borderId="12" xfId="0" applyNumberFormat="1" applyFont="1" applyFill="1" applyBorder="1" applyAlignment="1">
      <alignment horizontal="right"/>
    </xf>
    <xf numFmtId="7" fontId="3" fillId="4" borderId="12" xfId="0" applyNumberFormat="1" applyFont="1" applyFill="1" applyBorder="1" applyAlignment="1">
      <alignment horizontal="right"/>
    </xf>
    <xf numFmtId="1" fontId="7" fillId="0" borderId="1" xfId="0" applyNumberFormat="1" applyFont="1" applyBorder="1" applyAlignment="1">
      <alignment horizontal="left"/>
    </xf>
    <xf numFmtId="7" fontId="3" fillId="0" borderId="27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7" fontId="0" fillId="0" borderId="0" xfId="0" applyNumberFormat="1"/>
    <xf numFmtId="7" fontId="6" fillId="0" borderId="1" xfId="0" applyNumberFormat="1" applyFont="1" applyBorder="1" applyAlignment="1">
      <alignment horizontal="right"/>
    </xf>
    <xf numFmtId="1" fontId="3" fillId="5" borderId="12" xfId="0" applyNumberFormat="1" applyFont="1" applyFill="1" applyBorder="1" applyAlignment="1">
      <alignment horizontal="left"/>
    </xf>
    <xf numFmtId="7" fontId="3" fillId="5" borderId="12" xfId="0" applyNumberFormat="1" applyFont="1" applyFill="1" applyBorder="1" applyAlignment="1">
      <alignment horizontal="left"/>
    </xf>
    <xf numFmtId="4" fontId="8" fillId="5" borderId="12" xfId="0" applyNumberFormat="1" applyFont="1" applyFill="1" applyBorder="1" applyAlignment="1">
      <alignment horizontal="right"/>
    </xf>
    <xf numFmtId="7" fontId="8" fillId="5" borderId="12" xfId="0" applyNumberFormat="1" applyFont="1" applyFill="1" applyBorder="1" applyAlignment="1">
      <alignment horizontal="right"/>
    </xf>
    <xf numFmtId="7" fontId="3" fillId="5" borderId="12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7" fontId="2" fillId="0" borderId="1" xfId="0" applyNumberFormat="1" applyFont="1" applyBorder="1" applyAlignment="1">
      <alignment horizontal="left"/>
    </xf>
    <xf numFmtId="4" fontId="6" fillId="0" borderId="1" xfId="0" applyNumberFormat="1" applyFont="1" applyBorder="1" applyAlignment="1">
      <alignment horizontal="right"/>
    </xf>
    <xf numFmtId="7" fontId="2" fillId="0" borderId="28" xfId="0" applyNumberFormat="1" applyFont="1" applyBorder="1" applyAlignment="1">
      <alignment horizontal="right"/>
    </xf>
    <xf numFmtId="0" fontId="2" fillId="0" borderId="27" xfId="0" applyFont="1" applyBorder="1" applyAlignment="1">
      <alignment horizontal="left"/>
    </xf>
    <xf numFmtId="1" fontId="3" fillId="0" borderId="27" xfId="0" applyNumberFormat="1" applyFont="1" applyBorder="1" applyAlignment="1">
      <alignment horizontal="left"/>
    </xf>
    <xf numFmtId="4" fontId="8" fillId="0" borderId="27" xfId="0" applyNumberFormat="1" applyFont="1" applyBorder="1" applyAlignment="1">
      <alignment horizontal="right"/>
    </xf>
    <xf numFmtId="7" fontId="8" fillId="0" borderId="27" xfId="0" applyNumberFormat="1" applyFont="1" applyBorder="1" applyAlignment="1">
      <alignment horizontal="right"/>
    </xf>
    <xf numFmtId="7" fontId="2" fillId="3" borderId="29" xfId="0" applyNumberFormat="1" applyFont="1" applyFill="1" applyBorder="1" applyAlignment="1">
      <alignment horizontal="right"/>
    </xf>
    <xf numFmtId="7" fontId="8" fillId="4" borderId="12" xfId="0" applyNumberFormat="1" applyFont="1" applyFill="1" applyBorder="1" applyAlignment="1">
      <alignment horizontal="left"/>
    </xf>
    <xf numFmtId="7" fontId="8" fillId="0" borderId="1" xfId="0" applyNumberFormat="1" applyFont="1" applyBorder="1" applyAlignment="1">
      <alignment horizontal="left"/>
    </xf>
    <xf numFmtId="7" fontId="2" fillId="3" borderId="30" xfId="0" applyNumberFormat="1" applyFont="1" applyFill="1" applyBorder="1" applyAlignment="1">
      <alignment horizontal="right"/>
    </xf>
    <xf numFmtId="7" fontId="2" fillId="3" borderId="12" xfId="0" applyNumberFormat="1" applyFont="1" applyFill="1" applyBorder="1" applyAlignment="1">
      <alignment horizontal="right"/>
    </xf>
    <xf numFmtId="7" fontId="2" fillId="0" borderId="27" xfId="0" applyNumberFormat="1" applyFont="1" applyBorder="1" applyAlignment="1">
      <alignment horizontal="left"/>
    </xf>
    <xf numFmtId="4" fontId="2" fillId="0" borderId="27" xfId="0" applyNumberFormat="1" applyFont="1" applyBorder="1" applyAlignment="1">
      <alignment horizontal="right"/>
    </xf>
    <xf numFmtId="7" fontId="2" fillId="0" borderId="27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left"/>
    </xf>
    <xf numFmtId="7" fontId="3" fillId="0" borderId="9" xfId="0" applyNumberFormat="1" applyFont="1" applyBorder="1" applyAlignment="1">
      <alignment horizontal="left"/>
    </xf>
    <xf numFmtId="1" fontId="2" fillId="0" borderId="31" xfId="0" applyNumberFormat="1" applyFont="1" applyBorder="1" applyAlignment="1">
      <alignment horizontal="center"/>
    </xf>
    <xf numFmtId="1" fontId="3" fillId="0" borderId="34" xfId="0" applyNumberFormat="1" applyFont="1" applyBorder="1" applyAlignment="1">
      <alignment horizontal="left"/>
    </xf>
    <xf numFmtId="7" fontId="3" fillId="0" borderId="35" xfId="0" applyNumberFormat="1" applyFont="1" applyBorder="1" applyAlignment="1">
      <alignment horizontal="left"/>
    </xf>
    <xf numFmtId="1" fontId="3" fillId="0" borderId="36" xfId="0" applyNumberFormat="1" applyFont="1" applyBorder="1" applyAlignment="1">
      <alignment horizontal="left"/>
    </xf>
    <xf numFmtId="7" fontId="3" fillId="0" borderId="33" xfId="0" applyNumberFormat="1" applyFont="1" applyBorder="1" applyAlignment="1">
      <alignment horizontal="right"/>
    </xf>
    <xf numFmtId="1" fontId="3" fillId="0" borderId="36" xfId="0" applyNumberFormat="1" applyFont="1" applyBorder="1" applyAlignment="1">
      <alignment horizontal="center"/>
    </xf>
    <xf numFmtId="7" fontId="3" fillId="0" borderId="9" xfId="0" applyNumberFormat="1" applyFont="1" applyBorder="1" applyAlignment="1">
      <alignment horizontal="right"/>
    </xf>
    <xf numFmtId="3" fontId="3" fillId="0" borderId="36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right"/>
    </xf>
    <xf numFmtId="1" fontId="3" fillId="0" borderId="3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right"/>
    </xf>
    <xf numFmtId="7" fontId="3" fillId="0" borderId="8" xfId="0" applyNumberFormat="1" applyFont="1" applyBorder="1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7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13" fillId="0" borderId="2" xfId="0" applyFont="1" applyBorder="1" applyAlignment="1">
      <alignment horizontal="center"/>
    </xf>
    <xf numFmtId="4" fontId="13" fillId="0" borderId="3" xfId="0" applyNumberFormat="1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4" fontId="13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4" fontId="13" fillId="0" borderId="9" xfId="0" applyNumberFormat="1" applyFont="1" applyBorder="1" applyAlignment="1">
      <alignment horizontal="center"/>
    </xf>
    <xf numFmtId="0" fontId="14" fillId="5" borderId="38" xfId="0" applyFont="1" applyFill="1" applyBorder="1" applyAlignment="1">
      <alignment horizontal="center"/>
    </xf>
    <xf numFmtId="4" fontId="14" fillId="5" borderId="12" xfId="0" applyNumberFormat="1" applyFont="1" applyFill="1" applyBorder="1" applyAlignment="1">
      <alignment horizontal="center"/>
    </xf>
    <xf numFmtId="4" fontId="14" fillId="5" borderId="39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4" fillId="5" borderId="12" xfId="0" applyNumberFormat="1" applyFont="1" applyFill="1" applyBorder="1" applyAlignment="1">
      <alignment horizontal="center"/>
    </xf>
    <xf numFmtId="4" fontId="12" fillId="5" borderId="39" xfId="0" applyNumberFormat="1" applyFont="1" applyFill="1" applyBorder="1" applyAlignment="1">
      <alignment horizontal="center"/>
    </xf>
    <xf numFmtId="0" fontId="13" fillId="5" borderId="38" xfId="0" applyFont="1" applyFill="1" applyBorder="1" applyAlignment="1">
      <alignment horizontal="center"/>
    </xf>
    <xf numFmtId="4" fontId="13" fillId="5" borderId="12" xfId="0" applyNumberFormat="1" applyFont="1" applyFill="1" applyBorder="1" applyAlignment="1">
      <alignment horizontal="center"/>
    </xf>
    <xf numFmtId="3" fontId="13" fillId="5" borderId="12" xfId="0" applyNumberFormat="1" applyFont="1" applyFill="1" applyBorder="1" applyAlignment="1">
      <alignment horizontal="center"/>
    </xf>
    <xf numFmtId="4" fontId="13" fillId="5" borderId="39" xfId="0" applyNumberFormat="1" applyFont="1" applyFill="1" applyBorder="1" applyAlignment="1">
      <alignment horizontal="center"/>
    </xf>
    <xf numFmtId="0" fontId="12" fillId="0" borderId="40" xfId="0" applyFont="1" applyBorder="1" applyAlignment="1">
      <alignment horizontal="right"/>
    </xf>
    <xf numFmtId="3" fontId="12" fillId="0" borderId="41" xfId="0" applyNumberFormat="1" applyFont="1" applyBorder="1" applyAlignment="1">
      <alignment horizontal="left"/>
    </xf>
    <xf numFmtId="0" fontId="13" fillId="0" borderId="16" xfId="0" applyFont="1" applyBorder="1" applyAlignment="1">
      <alignment horizontal="right"/>
    </xf>
    <xf numFmtId="4" fontId="13" fillId="0" borderId="18" xfId="0" applyNumberFormat="1" applyFont="1" applyBorder="1" applyAlignment="1">
      <alignment horizontal="left"/>
    </xf>
    <xf numFmtId="3" fontId="13" fillId="0" borderId="18" xfId="0" applyNumberFormat="1" applyFont="1" applyBorder="1" applyAlignment="1">
      <alignment horizontal="left"/>
    </xf>
    <xf numFmtId="0" fontId="13" fillId="0" borderId="42" xfId="0" applyFont="1" applyBorder="1" applyAlignment="1">
      <alignment horizontal="right"/>
    </xf>
    <xf numFmtId="3" fontId="13" fillId="0" borderId="43" xfId="0" applyNumberFormat="1" applyFont="1" applyBorder="1" applyAlignment="1">
      <alignment horizontal="left"/>
    </xf>
    <xf numFmtId="0" fontId="13" fillId="0" borderId="40" xfId="0" applyFont="1" applyBorder="1" applyAlignment="1">
      <alignment horizontal="center"/>
    </xf>
    <xf numFmtId="4" fontId="13" fillId="0" borderId="41" xfId="0" applyNumberFormat="1" applyFont="1" applyBorder="1" applyAlignment="1">
      <alignment horizontal="center"/>
    </xf>
    <xf numFmtId="7" fontId="13" fillId="0" borderId="1" xfId="0" applyNumberFormat="1" applyFont="1" applyBorder="1" applyAlignment="1">
      <alignment horizontal="left"/>
    </xf>
    <xf numFmtId="4" fontId="13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horizontal="left"/>
    </xf>
    <xf numFmtId="4" fontId="13" fillId="0" borderId="43" xfId="0" applyNumberFormat="1" applyFont="1" applyBorder="1" applyAlignment="1">
      <alignment horizontal="left"/>
    </xf>
    <xf numFmtId="3" fontId="13" fillId="3" borderId="41" xfId="0" applyNumberFormat="1" applyFont="1" applyFill="1" applyBorder="1" applyAlignment="1">
      <alignment horizontal="left"/>
    </xf>
    <xf numFmtId="4" fontId="12" fillId="3" borderId="18" xfId="0" applyNumberFormat="1" applyFont="1" applyFill="1" applyBorder="1" applyAlignment="1">
      <alignment horizontal="left"/>
    </xf>
    <xf numFmtId="4" fontId="13" fillId="3" borderId="18" xfId="0" applyNumberFormat="1" applyFont="1" applyFill="1" applyBorder="1" applyAlignment="1">
      <alignment horizontal="center"/>
    </xf>
    <xf numFmtId="7" fontId="13" fillId="3" borderId="18" xfId="0" applyNumberFormat="1" applyFont="1" applyFill="1" applyBorder="1" applyAlignment="1">
      <alignment horizontal="left"/>
    </xf>
    <xf numFmtId="7" fontId="13" fillId="3" borderId="43" xfId="0" applyNumberFormat="1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26" xfId="0" applyFont="1" applyBorder="1" applyAlignment="1">
      <alignment horizontal="right" wrapText="1"/>
    </xf>
    <xf numFmtId="4" fontId="3" fillId="0" borderId="26" xfId="0" applyNumberFormat="1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5" borderId="12" xfId="0" applyFont="1" applyFill="1" applyBorder="1" applyAlignment="1">
      <alignment horizontal="left"/>
    </xf>
    <xf numFmtId="7" fontId="3" fillId="3" borderId="30" xfId="0" applyNumberFormat="1" applyFont="1" applyFill="1" applyBorder="1" applyAlignment="1">
      <alignment horizontal="right"/>
    </xf>
    <xf numFmtId="7" fontId="3" fillId="0" borderId="27" xfId="0" applyNumberFormat="1" applyFont="1" applyBorder="1" applyAlignment="1">
      <alignment horizontal="right"/>
    </xf>
    <xf numFmtId="4" fontId="8" fillId="4" borderId="12" xfId="0" applyNumberFormat="1" applyFont="1" applyFill="1" applyBorder="1" applyAlignment="1">
      <alignment horizontal="left"/>
    </xf>
    <xf numFmtId="4" fontId="8" fillId="0" borderId="1" xfId="0" applyNumberFormat="1" applyFont="1" applyBorder="1" applyAlignment="1">
      <alignment horizontal="left"/>
    </xf>
    <xf numFmtId="7" fontId="3" fillId="5" borderId="30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4" fontId="3" fillId="0" borderId="27" xfId="0" applyNumberFormat="1" applyFont="1" applyBorder="1" applyAlignment="1">
      <alignment horizontal="right"/>
    </xf>
    <xf numFmtId="4" fontId="3" fillId="4" borderId="12" xfId="0" applyNumberFormat="1" applyFont="1" applyFill="1" applyBorder="1" applyAlignment="1">
      <alignment horizontal="left"/>
    </xf>
    <xf numFmtId="7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4" fontId="0" fillId="0" borderId="0" xfId="0" applyNumberFormat="1" applyAlignment="1">
      <alignment wrapText="1"/>
    </xf>
    <xf numFmtId="0" fontId="10" fillId="0" borderId="1" xfId="0" applyFont="1" applyBorder="1" applyAlignment="1">
      <alignment horizontal="left" wrapText="1"/>
    </xf>
    <xf numFmtId="3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4" fontId="17" fillId="0" borderId="1" xfId="0" applyNumberFormat="1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4" fontId="18" fillId="0" borderId="1" xfId="0" applyNumberFormat="1" applyFont="1" applyBorder="1" applyAlignment="1">
      <alignment horizontal="center"/>
    </xf>
    <xf numFmtId="3" fontId="19" fillId="0" borderId="0" xfId="0" applyNumberFormat="1" applyFont="1"/>
    <xf numFmtId="4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164" fontId="19" fillId="0" borderId="0" xfId="0" applyNumberFormat="1" applyFont="1"/>
    <xf numFmtId="4" fontId="19" fillId="0" borderId="0" xfId="0" applyNumberFormat="1" applyFont="1"/>
    <xf numFmtId="0" fontId="19" fillId="0" borderId="0" xfId="0" applyFont="1"/>
    <xf numFmtId="164" fontId="20" fillId="0" borderId="1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" fontId="19" fillId="0" borderId="0" xfId="0" applyNumberFormat="1" applyFont="1"/>
    <xf numFmtId="4" fontId="19" fillId="0" borderId="0" xfId="0" applyNumberFormat="1" applyFont="1" applyAlignment="1">
      <alignment horizontal="center"/>
    </xf>
    <xf numFmtId="0" fontId="20" fillId="0" borderId="1" xfId="0" applyFont="1" applyBorder="1" applyAlignment="1">
      <alignment horizontal="left"/>
    </xf>
    <xf numFmtId="3" fontId="19" fillId="0" borderId="1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4" fontId="3" fillId="0" borderId="24" xfId="0" applyNumberFormat="1" applyFont="1" applyBorder="1" applyAlignment="1">
      <alignment horizontal="center"/>
    </xf>
    <xf numFmtId="7" fontId="3" fillId="0" borderId="2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7" fontId="6" fillId="0" borderId="1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3" fillId="0" borderId="16" xfId="0" applyFont="1" applyBorder="1" applyAlignment="1">
      <alignment horizontal="right"/>
    </xf>
    <xf numFmtId="4" fontId="13" fillId="0" borderId="17" xfId="0" applyNumberFormat="1" applyFont="1" applyBorder="1" applyAlignment="1">
      <alignment horizontal="right"/>
    </xf>
    <xf numFmtId="0" fontId="13" fillId="0" borderId="42" xfId="0" applyFont="1" applyBorder="1" applyAlignment="1">
      <alignment horizontal="right"/>
    </xf>
    <xf numFmtId="4" fontId="13" fillId="0" borderId="45" xfId="0" applyNumberFormat="1" applyFont="1" applyBorder="1" applyAlignment="1">
      <alignment horizontal="right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40" xfId="0" applyFont="1" applyBorder="1" applyAlignment="1">
      <alignment horizontal="right"/>
    </xf>
    <xf numFmtId="4" fontId="13" fillId="0" borderId="44" xfId="0" applyNumberFormat="1" applyFont="1" applyBorder="1" applyAlignment="1">
      <alignment horizontal="right"/>
    </xf>
    <xf numFmtId="0" fontId="12" fillId="0" borderId="23" xfId="0" applyFont="1" applyBorder="1" applyAlignment="1">
      <alignment horizontal="center" vertical="top" wrapText="1"/>
    </xf>
    <xf numFmtId="4" fontId="12" fillId="0" borderId="24" xfId="0" applyNumberFormat="1" applyFont="1" applyBorder="1" applyAlignment="1">
      <alignment horizontal="center" wrapText="1"/>
    </xf>
    <xf numFmtId="3" fontId="12" fillId="0" borderId="24" xfId="0" applyNumberFormat="1" applyFont="1" applyBorder="1" applyAlignment="1">
      <alignment horizontal="center" wrapText="1"/>
    </xf>
    <xf numFmtId="4" fontId="12" fillId="0" borderId="25" xfId="0" applyNumberFormat="1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4" fontId="12" fillId="0" borderId="1" xfId="0" applyNumberFormat="1" applyFont="1" applyBorder="1" applyAlignment="1">
      <alignment horizontal="center" wrapText="1"/>
    </xf>
    <xf numFmtId="3" fontId="12" fillId="0" borderId="1" xfId="0" applyNumberFormat="1" applyFont="1" applyBorder="1" applyAlignment="1">
      <alignment horizontal="center" wrapText="1"/>
    </xf>
    <xf numFmtId="4" fontId="12" fillId="0" borderId="9" xfId="0" applyNumberFormat="1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4" fontId="12" fillId="0" borderId="7" xfId="0" applyNumberFormat="1" applyFont="1" applyBorder="1" applyAlignment="1">
      <alignment horizontal="center" wrapText="1"/>
    </xf>
    <xf numFmtId="3" fontId="12" fillId="0" borderId="7" xfId="0" applyNumberFormat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 wrapText="1"/>
    </xf>
    <xf numFmtId="0" fontId="12" fillId="5" borderId="38" xfId="0" applyFont="1" applyFill="1" applyBorder="1" applyAlignment="1">
      <alignment horizontal="center"/>
    </xf>
    <xf numFmtId="4" fontId="12" fillId="5" borderId="12" xfId="0" applyNumberFormat="1" applyFont="1" applyFill="1" applyBorder="1" applyAlignment="1">
      <alignment horizontal="center"/>
    </xf>
    <xf numFmtId="3" fontId="12" fillId="5" borderId="1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4" fontId="12" fillId="0" borderId="3" xfId="0" applyNumberFormat="1" applyFont="1" applyBorder="1" applyAlignment="1">
      <alignment horizontal="center"/>
    </xf>
    <xf numFmtId="3" fontId="12" fillId="0" borderId="3" xfId="0" applyNumberFormat="1" applyFont="1" applyBorder="1" applyAlignment="1">
      <alignment horizontal="center"/>
    </xf>
    <xf numFmtId="4" fontId="12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" fontId="2" fillId="0" borderId="27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7" fontId="2" fillId="0" borderId="24" xfId="0" applyNumberFormat="1" applyFont="1" applyBorder="1" applyAlignment="1">
      <alignment horizontal="center"/>
    </xf>
    <xf numFmtId="7" fontId="2" fillId="0" borderId="25" xfId="0" applyNumberFormat="1" applyFont="1" applyBorder="1" applyAlignment="1">
      <alignment horizontal="center"/>
    </xf>
    <xf numFmtId="7" fontId="2" fillId="0" borderId="32" xfId="0" applyNumberFormat="1" applyFont="1" applyBorder="1" applyAlignment="1">
      <alignment horizontal="center"/>
    </xf>
    <xf numFmtId="7" fontId="3" fillId="0" borderId="32" xfId="0" applyNumberFormat="1" applyFont="1" applyBorder="1" applyAlignment="1">
      <alignment horizontal="center"/>
    </xf>
    <xf numFmtId="7" fontId="3" fillId="0" borderId="33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1" fontId="11" fillId="0" borderId="1" xfId="0" applyNumberFormat="1" applyFont="1" applyBorder="1" applyAlignment="1">
      <alignment horizontal="center" wrapText="1"/>
    </xf>
    <xf numFmtId="7" fontId="11" fillId="0" borderId="1" xfId="0" applyNumberFormat="1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1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3" borderId="12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7" fontId="3" fillId="0" borderId="1" xfId="0" applyNumberFormat="1" applyFont="1" applyBorder="1" applyAlignment="1">
      <alignment horizontal="center" vertical="center"/>
    </xf>
    <xf numFmtId="7" fontId="2" fillId="0" borderId="1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15" fillId="0" borderId="1" xfId="0" applyNumberFormat="1" applyFont="1" applyBorder="1" applyAlignment="1">
      <alignment horizontal="center" vertical="center"/>
    </xf>
    <xf numFmtId="164" fontId="3" fillId="3" borderId="12" xfId="0" applyNumberFormat="1" applyFont="1" applyFill="1" applyBorder="1" applyAlignment="1">
      <alignment horizontal="center" vertical="center"/>
    </xf>
    <xf numFmtId="3" fontId="3" fillId="3" borderId="12" xfId="0" applyNumberFormat="1" applyFont="1" applyFill="1" applyBorder="1" applyAlignment="1">
      <alignment horizontal="center" vertical="center"/>
    </xf>
    <xf numFmtId="7" fontId="3" fillId="3" borderId="12" xfId="0" applyNumberFormat="1" applyFont="1" applyFill="1" applyBorder="1" applyAlignment="1">
      <alignment horizontal="center" vertical="center"/>
    </xf>
    <xf numFmtId="7" fontId="2" fillId="3" borderId="12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3" fontId="2" fillId="3" borderId="12" xfId="0" applyNumberFormat="1" applyFont="1" applyFill="1" applyBorder="1" applyAlignment="1">
      <alignment horizontal="center" vertical="center"/>
    </xf>
    <xf numFmtId="4" fontId="3" fillId="3" borderId="12" xfId="0" applyNumberFormat="1" applyFont="1" applyFill="1" applyBorder="1" applyAlignment="1">
      <alignment horizontal="center" vertical="center"/>
    </xf>
    <xf numFmtId="4" fontId="5" fillId="3" borderId="12" xfId="0" applyNumberFormat="1" applyFont="1" applyFill="1" applyBorder="1" applyAlignment="1">
      <alignment horizontal="center" vertical="center"/>
    </xf>
    <xf numFmtId="4" fontId="2" fillId="3" borderId="12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7" fontId="2" fillId="0" borderId="1" xfId="0" applyNumberFormat="1" applyFont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7"/>
  <sheetViews>
    <sheetView workbookViewId="0"/>
  </sheetViews>
  <sheetFormatPr baseColWidth="10" defaultColWidth="8.83203125" defaultRowHeight="15" x14ac:dyDescent="0.2"/>
  <cols>
    <col min="1" max="1" width="10.6640625" style="6" bestFit="1" customWidth="1"/>
    <col min="2" max="2" width="12" style="6" bestFit="1" customWidth="1"/>
    <col min="3" max="3" width="7.5" style="10" bestFit="1" customWidth="1"/>
  </cols>
  <sheetData>
    <row r="1" spans="1:3" ht="17.25" customHeight="1" x14ac:dyDescent="0.2">
      <c r="A1" s="9" t="s">
        <v>290</v>
      </c>
      <c r="B1" s="9" t="s">
        <v>291</v>
      </c>
      <c r="C1" s="8" t="s">
        <v>292</v>
      </c>
    </row>
    <row r="2" spans="1:3" ht="17.25" customHeight="1" x14ac:dyDescent="0.2">
      <c r="A2" s="9">
        <v>4.5999999999999996</v>
      </c>
      <c r="B2" s="9">
        <v>1.75</v>
      </c>
      <c r="C2" s="8" t="s">
        <v>293</v>
      </c>
    </row>
    <row r="3" spans="1:3" ht="17.25" customHeight="1" x14ac:dyDescent="0.2">
      <c r="A3" s="9">
        <v>4.5999999999999996</v>
      </c>
      <c r="B3" s="9">
        <v>1.6</v>
      </c>
      <c r="C3" s="8" t="s">
        <v>294</v>
      </c>
    </row>
    <row r="4" spans="1:3" ht="17.25" customHeight="1" x14ac:dyDescent="0.2">
      <c r="A4" s="9">
        <v>6.4</v>
      </c>
      <c r="B4" s="9">
        <v>1.93</v>
      </c>
      <c r="C4" s="8" t="s">
        <v>293</v>
      </c>
    </row>
    <row r="5" spans="1:3" ht="17.25" customHeight="1" x14ac:dyDescent="0.2">
      <c r="A5" s="9">
        <v>6.4</v>
      </c>
      <c r="B5" s="9">
        <v>1.85</v>
      </c>
      <c r="C5" s="8" t="s">
        <v>294</v>
      </c>
    </row>
    <row r="6" spans="1:3" ht="17.25" customHeight="1" x14ac:dyDescent="0.2">
      <c r="A6" s="9">
        <v>8.1999999999999993</v>
      </c>
      <c r="B6" s="9">
        <v>2.11</v>
      </c>
      <c r="C6" s="8" t="s">
        <v>293</v>
      </c>
    </row>
    <row r="7" spans="1:3" ht="17.25" customHeight="1" x14ac:dyDescent="0.2">
      <c r="A7" s="9">
        <v>8.1999999999999993</v>
      </c>
      <c r="B7" s="9">
        <v>2.33</v>
      </c>
      <c r="C7" s="8" t="s">
        <v>294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H177"/>
  <sheetViews>
    <sheetView workbookViewId="0">
      <pane ySplit="1" topLeftCell="A2" activePane="bottomLeft" state="frozen"/>
      <selection pane="bottomLeft" activeCell="E38" sqref="E38"/>
    </sheetView>
  </sheetViews>
  <sheetFormatPr baseColWidth="10" defaultColWidth="8.83203125" defaultRowHeight="15" x14ac:dyDescent="0.2"/>
  <cols>
    <col min="1" max="1" width="17.6640625" style="5" bestFit="1" customWidth="1"/>
    <col min="2" max="2" width="13" style="5" bestFit="1" customWidth="1"/>
    <col min="3" max="3" width="9" style="5" bestFit="1" customWidth="1"/>
    <col min="4" max="4" width="13.33203125" style="10" bestFit="1" customWidth="1"/>
    <col min="5" max="5" width="9.5" style="5" bestFit="1" customWidth="1"/>
    <col min="6" max="6" width="11.83203125" style="10" bestFit="1" customWidth="1"/>
    <col min="7" max="7" width="21.1640625" style="6" bestFit="1" customWidth="1"/>
    <col min="8" max="8" width="20" style="6" bestFit="1" customWidth="1"/>
  </cols>
  <sheetData>
    <row r="1" spans="1:8" ht="17.25" customHeight="1" x14ac:dyDescent="0.25">
      <c r="A1" s="169" t="s">
        <v>0</v>
      </c>
      <c r="B1" s="169" t="s">
        <v>1</v>
      </c>
      <c r="C1" s="169" t="s">
        <v>2</v>
      </c>
      <c r="D1" s="170" t="s">
        <v>3</v>
      </c>
      <c r="E1" s="169" t="s">
        <v>4</v>
      </c>
      <c r="F1" s="170" t="s">
        <v>5</v>
      </c>
      <c r="G1" s="171" t="s">
        <v>6</v>
      </c>
      <c r="H1" s="171" t="s">
        <v>7</v>
      </c>
    </row>
    <row r="2" spans="1:8" ht="17.25" customHeight="1" x14ac:dyDescent="0.25">
      <c r="A2" s="172">
        <v>1</v>
      </c>
      <c r="B2" s="172">
        <v>1534</v>
      </c>
      <c r="C2" s="172">
        <v>2</v>
      </c>
      <c r="D2" s="173" t="s">
        <v>8</v>
      </c>
      <c r="E2" s="172">
        <v>35769</v>
      </c>
      <c r="F2" s="173" t="s">
        <v>9</v>
      </c>
      <c r="G2" s="174">
        <v>768.90263749199994</v>
      </c>
      <c r="H2" s="174">
        <v>1041584</v>
      </c>
    </row>
    <row r="3" spans="1:8" ht="17.25" customHeight="1" x14ac:dyDescent="0.25">
      <c r="A3" s="174">
        <v>0.9</v>
      </c>
      <c r="B3" s="172">
        <v>1416</v>
      </c>
      <c r="C3" s="172">
        <v>2</v>
      </c>
      <c r="D3" s="173" t="s">
        <v>8</v>
      </c>
      <c r="E3" s="172">
        <v>35769</v>
      </c>
      <c r="F3" s="173" t="s">
        <v>9</v>
      </c>
      <c r="G3" s="174">
        <v>692.01237374280004</v>
      </c>
      <c r="H3" s="174">
        <v>937427</v>
      </c>
    </row>
    <row r="4" spans="1:8" ht="17.25" customHeight="1" x14ac:dyDescent="0.25">
      <c r="A4" s="174">
        <v>0.8</v>
      </c>
      <c r="B4" s="172">
        <v>1239</v>
      </c>
      <c r="C4" s="172">
        <v>2</v>
      </c>
      <c r="D4" s="173" t="s">
        <v>8</v>
      </c>
      <c r="E4" s="172">
        <v>35769</v>
      </c>
      <c r="F4" s="173" t="s">
        <v>9</v>
      </c>
      <c r="G4" s="174">
        <v>615.12210999360002</v>
      </c>
      <c r="H4" s="174">
        <v>833269</v>
      </c>
    </row>
    <row r="5" spans="1:8" ht="17.25" customHeight="1" x14ac:dyDescent="0.25">
      <c r="A5" s="174">
        <v>0.7</v>
      </c>
      <c r="B5" s="172">
        <v>1062</v>
      </c>
      <c r="C5" s="172">
        <v>2</v>
      </c>
      <c r="D5" s="173" t="s">
        <v>8</v>
      </c>
      <c r="E5" s="172">
        <v>35769</v>
      </c>
      <c r="F5" s="173" t="s">
        <v>9</v>
      </c>
      <c r="G5" s="174">
        <v>538.23184624439989</v>
      </c>
      <c r="H5" s="174">
        <v>729112</v>
      </c>
    </row>
    <row r="6" spans="1:8" ht="17.25" customHeight="1" x14ac:dyDescent="0.25">
      <c r="A6" s="174">
        <v>0.6</v>
      </c>
      <c r="B6" s="172">
        <v>944</v>
      </c>
      <c r="C6" s="172">
        <v>2</v>
      </c>
      <c r="D6" s="173" t="s">
        <v>8</v>
      </c>
      <c r="E6" s="172">
        <v>35769</v>
      </c>
      <c r="F6" s="173" t="s">
        <v>9</v>
      </c>
      <c r="G6" s="174">
        <v>461.34158249519999</v>
      </c>
      <c r="H6" s="174">
        <v>624955</v>
      </c>
    </row>
    <row r="7" spans="1:8" ht="17.25" customHeight="1" x14ac:dyDescent="0.25">
      <c r="A7" s="174">
        <v>0.5</v>
      </c>
      <c r="B7" s="172">
        <v>767</v>
      </c>
      <c r="C7" s="172">
        <v>2</v>
      </c>
      <c r="D7" s="173" t="s">
        <v>8</v>
      </c>
      <c r="E7" s="172">
        <v>35769</v>
      </c>
      <c r="F7" s="173" t="s">
        <v>9</v>
      </c>
      <c r="G7" s="174">
        <v>384.45131874599997</v>
      </c>
      <c r="H7" s="174">
        <v>520797</v>
      </c>
    </row>
    <row r="8" spans="1:8" ht="17.25" customHeight="1" x14ac:dyDescent="0.25">
      <c r="A8" s="174">
        <v>0.4</v>
      </c>
      <c r="B8" s="172">
        <v>590</v>
      </c>
      <c r="C8" s="172">
        <v>2</v>
      </c>
      <c r="D8" s="173" t="s">
        <v>8</v>
      </c>
      <c r="E8" s="172">
        <v>35769</v>
      </c>
      <c r="F8" s="173" t="s">
        <v>9</v>
      </c>
      <c r="G8" s="174">
        <v>307.56105499680001</v>
      </c>
      <c r="H8" s="174">
        <v>416639</v>
      </c>
    </row>
    <row r="9" spans="1:8" ht="17.25" customHeight="1" x14ac:dyDescent="0.25">
      <c r="A9" s="174">
        <v>0.3</v>
      </c>
      <c r="B9" s="172">
        <v>472</v>
      </c>
      <c r="C9" s="172">
        <v>2</v>
      </c>
      <c r="D9" s="173" t="s">
        <v>8</v>
      </c>
      <c r="E9" s="172">
        <v>35769</v>
      </c>
      <c r="F9" s="173" t="s">
        <v>9</v>
      </c>
      <c r="G9" s="174">
        <v>230.67079124759999</v>
      </c>
      <c r="H9" s="174">
        <v>312481</v>
      </c>
    </row>
    <row r="10" spans="1:8" ht="17.25" customHeight="1" x14ac:dyDescent="0.25">
      <c r="A10" s="174">
        <v>0.2</v>
      </c>
      <c r="B10" s="172">
        <v>295</v>
      </c>
      <c r="C10" s="172">
        <v>2</v>
      </c>
      <c r="D10" s="173" t="s">
        <v>8</v>
      </c>
      <c r="E10" s="172">
        <v>35769</v>
      </c>
      <c r="F10" s="173" t="s">
        <v>9</v>
      </c>
      <c r="G10" s="174">
        <v>153.78052749840001</v>
      </c>
      <c r="H10" s="174">
        <v>208322</v>
      </c>
    </row>
    <row r="11" spans="1:8" ht="17.25" customHeight="1" x14ac:dyDescent="0.25">
      <c r="A11" s="174">
        <v>0.1</v>
      </c>
      <c r="B11" s="172">
        <v>118</v>
      </c>
      <c r="C11" s="172">
        <v>2</v>
      </c>
      <c r="D11" s="173" t="s">
        <v>8</v>
      </c>
      <c r="E11" s="172">
        <v>35769</v>
      </c>
      <c r="F11" s="173" t="s">
        <v>9</v>
      </c>
      <c r="G11" s="174">
        <v>76.890263749200003</v>
      </c>
      <c r="H11" s="174">
        <v>104178</v>
      </c>
    </row>
    <row r="12" spans="1:8" ht="17.25" customHeight="1" x14ac:dyDescent="0.25">
      <c r="A12" s="172">
        <v>0</v>
      </c>
      <c r="B12" s="172">
        <v>0</v>
      </c>
      <c r="C12" s="172">
        <v>2</v>
      </c>
      <c r="D12" s="173" t="s">
        <v>8</v>
      </c>
      <c r="E12" s="172">
        <v>35769</v>
      </c>
      <c r="F12" s="173" t="s">
        <v>9</v>
      </c>
      <c r="G12" s="174">
        <v>0</v>
      </c>
      <c r="H12" s="174">
        <v>0</v>
      </c>
    </row>
    <row r="13" spans="1:8" ht="17.25" customHeight="1" x14ac:dyDescent="0.25">
      <c r="A13" s="172">
        <v>1</v>
      </c>
      <c r="B13" s="172">
        <v>1534</v>
      </c>
      <c r="C13" s="172">
        <v>2</v>
      </c>
      <c r="D13" s="173" t="s">
        <v>13</v>
      </c>
      <c r="E13" s="172">
        <v>35136</v>
      </c>
      <c r="F13" s="173" t="s">
        <v>9</v>
      </c>
      <c r="G13" s="174">
        <v>768.90263749199994</v>
      </c>
      <c r="H13" s="174">
        <v>1079332</v>
      </c>
    </row>
    <row r="14" spans="1:8" ht="17.25" customHeight="1" x14ac:dyDescent="0.25">
      <c r="A14" s="174">
        <v>0.9</v>
      </c>
      <c r="B14" s="172">
        <v>1416</v>
      </c>
      <c r="C14" s="172">
        <v>2</v>
      </c>
      <c r="D14" s="173" t="s">
        <v>13</v>
      </c>
      <c r="E14" s="172">
        <v>35136</v>
      </c>
      <c r="F14" s="173" t="s">
        <v>9</v>
      </c>
      <c r="G14" s="174">
        <v>692.01237374280004</v>
      </c>
      <c r="H14" s="174">
        <v>971400</v>
      </c>
    </row>
    <row r="15" spans="1:8" ht="17.25" customHeight="1" x14ac:dyDescent="0.25">
      <c r="A15" s="174">
        <v>0.8</v>
      </c>
      <c r="B15" s="172">
        <v>1239</v>
      </c>
      <c r="C15" s="172">
        <v>2</v>
      </c>
      <c r="D15" s="173" t="s">
        <v>13</v>
      </c>
      <c r="E15" s="172">
        <v>35136</v>
      </c>
      <c r="F15" s="173" t="s">
        <v>9</v>
      </c>
      <c r="G15" s="174">
        <v>615.12210999360002</v>
      </c>
      <c r="H15" s="174">
        <v>863467</v>
      </c>
    </row>
    <row r="16" spans="1:8" ht="17.25" customHeight="1" x14ac:dyDescent="0.25">
      <c r="A16" s="174">
        <v>0.7</v>
      </c>
      <c r="B16" s="172">
        <v>1062</v>
      </c>
      <c r="C16" s="172">
        <v>2</v>
      </c>
      <c r="D16" s="173" t="s">
        <v>13</v>
      </c>
      <c r="E16" s="172">
        <v>35136</v>
      </c>
      <c r="F16" s="173" t="s">
        <v>9</v>
      </c>
      <c r="G16" s="174">
        <v>538.23184624439989</v>
      </c>
      <c r="H16" s="174">
        <v>755536</v>
      </c>
    </row>
    <row r="17" spans="1:8" ht="17.25" customHeight="1" x14ac:dyDescent="0.25">
      <c r="A17" s="174">
        <v>0.6</v>
      </c>
      <c r="B17" s="172">
        <v>944</v>
      </c>
      <c r="C17" s="172">
        <v>2</v>
      </c>
      <c r="D17" s="173" t="s">
        <v>13</v>
      </c>
      <c r="E17" s="172">
        <v>35136</v>
      </c>
      <c r="F17" s="173" t="s">
        <v>9</v>
      </c>
      <c r="G17" s="174">
        <v>461.34158249519999</v>
      </c>
      <c r="H17" s="174">
        <v>647604</v>
      </c>
    </row>
    <row r="18" spans="1:8" ht="17.25" customHeight="1" x14ac:dyDescent="0.25">
      <c r="A18" s="174">
        <v>0.5</v>
      </c>
      <c r="B18" s="172">
        <v>767</v>
      </c>
      <c r="C18" s="172">
        <v>2</v>
      </c>
      <c r="D18" s="173" t="s">
        <v>13</v>
      </c>
      <c r="E18" s="172">
        <v>35136</v>
      </c>
      <c r="F18" s="173" t="s">
        <v>9</v>
      </c>
      <c r="G18" s="174">
        <v>384.45131874599997</v>
      </c>
      <c r="H18" s="174">
        <v>539671</v>
      </c>
    </row>
    <row r="19" spans="1:8" ht="17.25" customHeight="1" x14ac:dyDescent="0.25">
      <c r="A19" s="174">
        <v>0.4</v>
      </c>
      <c r="B19" s="172">
        <v>590</v>
      </c>
      <c r="C19" s="172">
        <v>2</v>
      </c>
      <c r="D19" s="173" t="s">
        <v>13</v>
      </c>
      <c r="E19" s="172">
        <v>35136</v>
      </c>
      <c r="F19" s="173" t="s">
        <v>9</v>
      </c>
      <c r="G19" s="174">
        <v>307.56105499680001</v>
      </c>
      <c r="H19" s="174">
        <v>431739</v>
      </c>
    </row>
    <row r="20" spans="1:8" ht="17.25" customHeight="1" x14ac:dyDescent="0.25">
      <c r="A20" s="174">
        <v>0.3</v>
      </c>
      <c r="B20" s="172">
        <v>472</v>
      </c>
      <c r="C20" s="172">
        <v>2</v>
      </c>
      <c r="D20" s="173" t="s">
        <v>13</v>
      </c>
      <c r="E20" s="172">
        <v>35136</v>
      </c>
      <c r="F20" s="173" t="s">
        <v>9</v>
      </c>
      <c r="G20" s="174">
        <v>230.67079124759999</v>
      </c>
      <c r="H20" s="174">
        <v>323806</v>
      </c>
    </row>
    <row r="21" spans="1:8" ht="17.25" customHeight="1" x14ac:dyDescent="0.25">
      <c r="A21" s="174">
        <v>0.2</v>
      </c>
      <c r="B21" s="172">
        <v>295</v>
      </c>
      <c r="C21" s="172">
        <v>2</v>
      </c>
      <c r="D21" s="173" t="s">
        <v>13</v>
      </c>
      <c r="E21" s="172">
        <v>35136</v>
      </c>
      <c r="F21" s="173" t="s">
        <v>9</v>
      </c>
      <c r="G21" s="174">
        <v>153.78052749840001</v>
      </c>
      <c r="H21" s="174">
        <v>215872</v>
      </c>
    </row>
    <row r="22" spans="1:8" ht="17.25" customHeight="1" x14ac:dyDescent="0.25">
      <c r="A22" s="174">
        <v>0.1</v>
      </c>
      <c r="B22" s="172">
        <v>118</v>
      </c>
      <c r="C22" s="172">
        <v>2</v>
      </c>
      <c r="D22" s="173" t="s">
        <v>13</v>
      </c>
      <c r="E22" s="172">
        <v>35136</v>
      </c>
      <c r="F22" s="173" t="s">
        <v>9</v>
      </c>
      <c r="G22" s="174">
        <v>76.890263749200003</v>
      </c>
      <c r="H22" s="174">
        <v>107955</v>
      </c>
    </row>
    <row r="23" spans="1:8" ht="17.25" customHeight="1" x14ac:dyDescent="0.25">
      <c r="A23" s="172">
        <v>0</v>
      </c>
      <c r="B23" s="172">
        <v>0</v>
      </c>
      <c r="C23" s="172">
        <v>2</v>
      </c>
      <c r="D23" s="173" t="s">
        <v>13</v>
      </c>
      <c r="E23" s="172">
        <v>35136</v>
      </c>
      <c r="F23" s="173" t="s">
        <v>9</v>
      </c>
      <c r="G23" s="174">
        <v>0</v>
      </c>
      <c r="H23" s="174">
        <v>0</v>
      </c>
    </row>
    <row r="24" spans="1:8" ht="17.25" customHeight="1" x14ac:dyDescent="0.25">
      <c r="A24" s="172">
        <v>1</v>
      </c>
      <c r="B24" s="172">
        <v>1534</v>
      </c>
      <c r="C24" s="172">
        <v>2</v>
      </c>
      <c r="D24" s="173" t="s">
        <v>10</v>
      </c>
      <c r="E24" s="172">
        <v>36040</v>
      </c>
      <c r="F24" s="173" t="s">
        <v>9</v>
      </c>
      <c r="G24" s="174">
        <v>768.90263749199994</v>
      </c>
      <c r="H24" s="174">
        <v>1103970</v>
      </c>
    </row>
    <row r="25" spans="1:8" ht="17.25" customHeight="1" x14ac:dyDescent="0.25">
      <c r="A25" s="174">
        <v>0.9</v>
      </c>
      <c r="B25" s="172">
        <v>1416</v>
      </c>
      <c r="C25" s="172">
        <v>2</v>
      </c>
      <c r="D25" s="173" t="s">
        <v>10</v>
      </c>
      <c r="E25" s="172">
        <v>36040</v>
      </c>
      <c r="F25" s="173" t="s">
        <v>9</v>
      </c>
      <c r="G25" s="174">
        <v>692.01237374280004</v>
      </c>
      <c r="H25" s="172">
        <v>993574</v>
      </c>
    </row>
    <row r="26" spans="1:8" ht="17.25" customHeight="1" x14ac:dyDescent="0.25">
      <c r="A26" s="174">
        <v>0.8</v>
      </c>
      <c r="B26" s="172">
        <v>1239</v>
      </c>
      <c r="C26" s="172">
        <v>2</v>
      </c>
      <c r="D26" s="173" t="s">
        <v>10</v>
      </c>
      <c r="E26" s="172">
        <v>36040</v>
      </c>
      <c r="F26" s="173" t="s">
        <v>9</v>
      </c>
      <c r="G26" s="174">
        <v>615.12210999360002</v>
      </c>
      <c r="H26" s="174">
        <v>883178</v>
      </c>
    </row>
    <row r="27" spans="1:8" ht="17.25" customHeight="1" x14ac:dyDescent="0.25">
      <c r="A27" s="174">
        <v>0.7</v>
      </c>
      <c r="B27" s="172">
        <v>1062</v>
      </c>
      <c r="C27" s="172">
        <v>2</v>
      </c>
      <c r="D27" s="173" t="s">
        <v>10</v>
      </c>
      <c r="E27" s="172">
        <v>36040</v>
      </c>
      <c r="F27" s="173" t="s">
        <v>9</v>
      </c>
      <c r="G27" s="174">
        <v>538.23184624439989</v>
      </c>
      <c r="H27" s="174">
        <v>772783</v>
      </c>
    </row>
    <row r="28" spans="1:8" ht="17.25" customHeight="1" x14ac:dyDescent="0.25">
      <c r="A28" s="174">
        <v>0.6</v>
      </c>
      <c r="B28" s="172">
        <v>944</v>
      </c>
      <c r="C28" s="172">
        <v>2</v>
      </c>
      <c r="D28" s="173" t="s">
        <v>10</v>
      </c>
      <c r="E28" s="172">
        <v>36040</v>
      </c>
      <c r="F28" s="173" t="s">
        <v>9</v>
      </c>
      <c r="G28" s="174">
        <v>461.34158249519999</v>
      </c>
      <c r="H28" s="174">
        <v>662387</v>
      </c>
    </row>
    <row r="29" spans="1:8" ht="17.25" customHeight="1" x14ac:dyDescent="0.25">
      <c r="A29" s="174">
        <v>0.5</v>
      </c>
      <c r="B29" s="172">
        <v>767</v>
      </c>
      <c r="C29" s="172">
        <v>2</v>
      </c>
      <c r="D29" s="173" t="s">
        <v>10</v>
      </c>
      <c r="E29" s="172">
        <v>36040</v>
      </c>
      <c r="F29" s="173" t="s">
        <v>9</v>
      </c>
      <c r="G29" s="174">
        <v>384.45131874599997</v>
      </c>
      <c r="H29" s="174">
        <v>551991</v>
      </c>
    </row>
    <row r="30" spans="1:8" ht="17.25" customHeight="1" x14ac:dyDescent="0.25">
      <c r="A30" s="174">
        <v>0.4</v>
      </c>
      <c r="B30" s="172">
        <v>590</v>
      </c>
      <c r="C30" s="172">
        <v>2</v>
      </c>
      <c r="D30" s="173" t="s">
        <v>10</v>
      </c>
      <c r="E30" s="172">
        <v>36040</v>
      </c>
      <c r="F30" s="173" t="s">
        <v>9</v>
      </c>
      <c r="G30" s="174">
        <v>307.56105499680001</v>
      </c>
      <c r="H30" s="174">
        <v>441595</v>
      </c>
    </row>
    <row r="31" spans="1:8" ht="17.25" customHeight="1" x14ac:dyDescent="0.25">
      <c r="A31" s="174">
        <v>0.3</v>
      </c>
      <c r="B31" s="172">
        <v>472</v>
      </c>
      <c r="C31" s="172">
        <v>2</v>
      </c>
      <c r="D31" s="173" t="s">
        <v>10</v>
      </c>
      <c r="E31" s="172">
        <v>36040</v>
      </c>
      <c r="F31" s="173" t="s">
        <v>9</v>
      </c>
      <c r="G31" s="174">
        <v>230.67079124759999</v>
      </c>
      <c r="H31" s="174">
        <v>331198</v>
      </c>
    </row>
    <row r="32" spans="1:8" ht="17.25" customHeight="1" x14ac:dyDescent="0.25">
      <c r="A32" s="174">
        <v>0.2</v>
      </c>
      <c r="B32" s="172">
        <v>295</v>
      </c>
      <c r="C32" s="172">
        <v>2</v>
      </c>
      <c r="D32" s="173" t="s">
        <v>10</v>
      </c>
      <c r="E32" s="172">
        <v>36040</v>
      </c>
      <c r="F32" s="173" t="s">
        <v>9</v>
      </c>
      <c r="G32" s="174">
        <v>153.78052749840001</v>
      </c>
      <c r="H32" s="174">
        <v>220800</v>
      </c>
    </row>
    <row r="33" spans="1:8" ht="17.25" customHeight="1" x14ac:dyDescent="0.25">
      <c r="A33" s="174">
        <v>0.1</v>
      </c>
      <c r="B33" s="172">
        <v>118</v>
      </c>
      <c r="C33" s="172">
        <v>2</v>
      </c>
      <c r="D33" s="173" t="s">
        <v>10</v>
      </c>
      <c r="E33" s="172">
        <v>36040</v>
      </c>
      <c r="F33" s="173" t="s">
        <v>9</v>
      </c>
      <c r="G33" s="174">
        <v>76.890263749200003</v>
      </c>
      <c r="H33" s="174">
        <v>110425</v>
      </c>
    </row>
    <row r="34" spans="1:8" ht="17.25" customHeight="1" x14ac:dyDescent="0.25">
      <c r="A34" s="172">
        <v>0</v>
      </c>
      <c r="B34" s="172">
        <v>0</v>
      </c>
      <c r="C34" s="172">
        <v>2</v>
      </c>
      <c r="D34" s="173" t="s">
        <v>10</v>
      </c>
      <c r="E34" s="172">
        <v>36040</v>
      </c>
      <c r="F34" s="173" t="s">
        <v>9</v>
      </c>
      <c r="G34" s="174">
        <v>0</v>
      </c>
      <c r="H34" s="174">
        <v>0</v>
      </c>
    </row>
    <row r="35" spans="1:8" ht="17.25" customHeight="1" x14ac:dyDescent="0.25">
      <c r="A35" s="172">
        <v>1</v>
      </c>
      <c r="B35" s="172">
        <v>1534</v>
      </c>
      <c r="C35" s="172">
        <v>2</v>
      </c>
      <c r="D35" s="173" t="s">
        <v>12</v>
      </c>
      <c r="E35" s="172">
        <v>36507</v>
      </c>
      <c r="F35" s="173" t="s">
        <v>9</v>
      </c>
      <c r="G35" s="174">
        <v>768.90263749199994</v>
      </c>
      <c r="H35" s="174">
        <v>1103970</v>
      </c>
    </row>
    <row r="36" spans="1:8" ht="17.25" customHeight="1" x14ac:dyDescent="0.25">
      <c r="A36" s="174">
        <v>0.9</v>
      </c>
      <c r="B36" s="172">
        <v>1416</v>
      </c>
      <c r="C36" s="172">
        <v>2</v>
      </c>
      <c r="D36" s="173" t="s">
        <v>12</v>
      </c>
      <c r="E36" s="172">
        <v>36507</v>
      </c>
      <c r="F36" s="173" t="s">
        <v>9</v>
      </c>
      <c r="G36" s="174">
        <v>692.01237374280004</v>
      </c>
      <c r="H36" s="174">
        <v>993574</v>
      </c>
    </row>
    <row r="37" spans="1:8" ht="17.25" customHeight="1" x14ac:dyDescent="0.25">
      <c r="A37" s="174">
        <v>0.8</v>
      </c>
      <c r="B37" s="172">
        <v>1239</v>
      </c>
      <c r="C37" s="172">
        <v>2</v>
      </c>
      <c r="D37" s="173" t="s">
        <v>12</v>
      </c>
      <c r="E37" s="172">
        <v>36507</v>
      </c>
      <c r="F37" s="173" t="s">
        <v>9</v>
      </c>
      <c r="G37" s="174">
        <v>615.12210999360002</v>
      </c>
      <c r="H37" s="174">
        <v>883178</v>
      </c>
    </row>
    <row r="38" spans="1:8" ht="17.25" customHeight="1" x14ac:dyDescent="0.25">
      <c r="A38" s="174">
        <v>0.7</v>
      </c>
      <c r="B38" s="172">
        <v>1062</v>
      </c>
      <c r="C38" s="172">
        <v>2</v>
      </c>
      <c r="D38" s="173" t="s">
        <v>12</v>
      </c>
      <c r="E38" s="172">
        <v>36507</v>
      </c>
      <c r="F38" s="173" t="s">
        <v>9</v>
      </c>
      <c r="G38" s="174">
        <v>538.23184624439989</v>
      </c>
      <c r="H38" s="174">
        <v>772783</v>
      </c>
    </row>
    <row r="39" spans="1:8" ht="17.25" customHeight="1" x14ac:dyDescent="0.25">
      <c r="A39" s="174">
        <v>0.6</v>
      </c>
      <c r="B39" s="172">
        <v>944</v>
      </c>
      <c r="C39" s="172">
        <v>2</v>
      </c>
      <c r="D39" s="173" t="s">
        <v>12</v>
      </c>
      <c r="E39" s="172">
        <v>36507</v>
      </c>
      <c r="F39" s="173" t="s">
        <v>9</v>
      </c>
      <c r="G39" s="174">
        <v>461.34158249519999</v>
      </c>
      <c r="H39" s="174">
        <v>662387</v>
      </c>
    </row>
    <row r="40" spans="1:8" ht="17.25" customHeight="1" x14ac:dyDescent="0.25">
      <c r="A40" s="174">
        <v>0.5</v>
      </c>
      <c r="B40" s="172">
        <v>767</v>
      </c>
      <c r="C40" s="172">
        <v>2</v>
      </c>
      <c r="D40" s="173" t="s">
        <v>12</v>
      </c>
      <c r="E40" s="172">
        <v>36507</v>
      </c>
      <c r="F40" s="173" t="s">
        <v>9</v>
      </c>
      <c r="G40" s="174">
        <v>384.45131874599997</v>
      </c>
      <c r="H40" s="174">
        <v>551991</v>
      </c>
    </row>
    <row r="41" spans="1:8" ht="17.25" customHeight="1" x14ac:dyDescent="0.25">
      <c r="A41" s="174">
        <v>0.4</v>
      </c>
      <c r="B41" s="172">
        <v>590</v>
      </c>
      <c r="C41" s="172">
        <v>2</v>
      </c>
      <c r="D41" s="173" t="s">
        <v>12</v>
      </c>
      <c r="E41" s="172">
        <v>36507</v>
      </c>
      <c r="F41" s="173" t="s">
        <v>9</v>
      </c>
      <c r="G41" s="174">
        <v>307.56105499680001</v>
      </c>
      <c r="H41" s="174">
        <v>441595</v>
      </c>
    </row>
    <row r="42" spans="1:8" ht="17.25" customHeight="1" x14ac:dyDescent="0.25">
      <c r="A42" s="174">
        <v>0.3</v>
      </c>
      <c r="B42" s="172">
        <v>472</v>
      </c>
      <c r="C42" s="172">
        <v>2</v>
      </c>
      <c r="D42" s="173" t="s">
        <v>12</v>
      </c>
      <c r="E42" s="172">
        <v>36507</v>
      </c>
      <c r="F42" s="173" t="s">
        <v>9</v>
      </c>
      <c r="G42" s="174">
        <v>230.67079124759999</v>
      </c>
      <c r="H42" s="174">
        <v>331198</v>
      </c>
    </row>
    <row r="43" spans="1:8" ht="17.25" customHeight="1" x14ac:dyDescent="0.25">
      <c r="A43" s="174">
        <v>0.2</v>
      </c>
      <c r="B43" s="172">
        <v>295</v>
      </c>
      <c r="C43" s="172">
        <v>2</v>
      </c>
      <c r="D43" s="173" t="s">
        <v>12</v>
      </c>
      <c r="E43" s="172">
        <v>36507</v>
      </c>
      <c r="F43" s="173" t="s">
        <v>9</v>
      </c>
      <c r="G43" s="174">
        <v>153.78052749840001</v>
      </c>
      <c r="H43" s="174">
        <v>220800</v>
      </c>
    </row>
    <row r="44" spans="1:8" ht="17.25" customHeight="1" x14ac:dyDescent="0.25">
      <c r="A44" s="174">
        <v>0.1</v>
      </c>
      <c r="B44" s="172">
        <v>118</v>
      </c>
      <c r="C44" s="172">
        <v>2</v>
      </c>
      <c r="D44" s="173" t="s">
        <v>12</v>
      </c>
      <c r="E44" s="172">
        <v>36507</v>
      </c>
      <c r="F44" s="173" t="s">
        <v>9</v>
      </c>
      <c r="G44" s="174">
        <v>76.890263749200003</v>
      </c>
      <c r="H44" s="174">
        <v>110425</v>
      </c>
    </row>
    <row r="45" spans="1:8" ht="17.25" customHeight="1" x14ac:dyDescent="0.25">
      <c r="A45" s="172">
        <v>0</v>
      </c>
      <c r="B45" s="172">
        <v>0</v>
      </c>
      <c r="C45" s="172">
        <v>2</v>
      </c>
      <c r="D45" s="173" t="s">
        <v>12</v>
      </c>
      <c r="E45" s="172">
        <v>36507</v>
      </c>
      <c r="F45" s="173" t="s">
        <v>9</v>
      </c>
      <c r="G45" s="174">
        <v>0</v>
      </c>
      <c r="H45" s="174">
        <v>0</v>
      </c>
    </row>
    <row r="46" spans="1:8" ht="17.25" customHeight="1" x14ac:dyDescent="0.25">
      <c r="A46" s="172">
        <v>1</v>
      </c>
      <c r="B46" s="172">
        <v>1534</v>
      </c>
      <c r="C46" s="172">
        <v>2</v>
      </c>
      <c r="D46" s="173" t="s">
        <v>8</v>
      </c>
      <c r="E46" s="172">
        <v>35769</v>
      </c>
      <c r="F46" s="173" t="s">
        <v>11</v>
      </c>
      <c r="G46" s="174">
        <v>768.90263749199994</v>
      </c>
      <c r="H46" s="174">
        <v>1191939</v>
      </c>
    </row>
    <row r="47" spans="1:8" ht="17.25" customHeight="1" x14ac:dyDescent="0.25">
      <c r="A47" s="174">
        <v>0.9</v>
      </c>
      <c r="B47" s="172">
        <v>1416</v>
      </c>
      <c r="C47" s="172">
        <v>2</v>
      </c>
      <c r="D47" s="173" t="s">
        <v>8</v>
      </c>
      <c r="E47" s="172">
        <v>35769</v>
      </c>
      <c r="F47" s="173" t="s">
        <v>11</v>
      </c>
      <c r="G47" s="174">
        <v>692.01237374280004</v>
      </c>
      <c r="H47" s="174">
        <v>1072747</v>
      </c>
    </row>
    <row r="48" spans="1:8" ht="17.25" customHeight="1" x14ac:dyDescent="0.25">
      <c r="A48" s="174">
        <v>0.8</v>
      </c>
      <c r="B48" s="172">
        <v>1239</v>
      </c>
      <c r="C48" s="172">
        <v>2</v>
      </c>
      <c r="D48" s="173" t="s">
        <v>8</v>
      </c>
      <c r="E48" s="172">
        <v>35769</v>
      </c>
      <c r="F48" s="173" t="s">
        <v>11</v>
      </c>
      <c r="G48" s="174">
        <v>615.12210999360002</v>
      </c>
      <c r="H48" s="174">
        <v>953557</v>
      </c>
    </row>
    <row r="49" spans="1:8" ht="17.25" customHeight="1" x14ac:dyDescent="0.25">
      <c r="A49" s="174">
        <v>0.7</v>
      </c>
      <c r="B49" s="172">
        <v>1062</v>
      </c>
      <c r="C49" s="172">
        <v>2</v>
      </c>
      <c r="D49" s="173" t="s">
        <v>8</v>
      </c>
      <c r="E49" s="172">
        <v>35769</v>
      </c>
      <c r="F49" s="173" t="s">
        <v>11</v>
      </c>
      <c r="G49" s="174">
        <v>538.23184624439989</v>
      </c>
      <c r="H49" s="174">
        <v>834366</v>
      </c>
    </row>
    <row r="50" spans="1:8" ht="17.25" customHeight="1" x14ac:dyDescent="0.25">
      <c r="A50" s="174">
        <v>0.6</v>
      </c>
      <c r="B50" s="172">
        <v>944</v>
      </c>
      <c r="C50" s="172">
        <v>2</v>
      </c>
      <c r="D50" s="173" t="s">
        <v>8</v>
      </c>
      <c r="E50" s="172">
        <v>35769</v>
      </c>
      <c r="F50" s="173" t="s">
        <v>11</v>
      </c>
      <c r="G50" s="174">
        <v>461.34158249519999</v>
      </c>
      <c r="H50" s="174">
        <v>715174</v>
      </c>
    </row>
    <row r="51" spans="1:8" ht="17.25" customHeight="1" x14ac:dyDescent="0.25">
      <c r="A51" s="174">
        <v>0.5</v>
      </c>
      <c r="B51" s="172">
        <v>767</v>
      </c>
      <c r="C51" s="172">
        <v>2</v>
      </c>
      <c r="D51" s="173" t="s">
        <v>8</v>
      </c>
      <c r="E51" s="172">
        <v>35769</v>
      </c>
      <c r="F51" s="173" t="s">
        <v>11</v>
      </c>
      <c r="G51" s="174">
        <v>384.45131874599997</v>
      </c>
      <c r="H51" s="174">
        <v>595983</v>
      </c>
    </row>
    <row r="52" spans="1:8" ht="17.25" customHeight="1" x14ac:dyDescent="0.25">
      <c r="A52" s="174">
        <v>0.4</v>
      </c>
      <c r="B52" s="172">
        <v>590</v>
      </c>
      <c r="C52" s="172">
        <v>2</v>
      </c>
      <c r="D52" s="173" t="s">
        <v>8</v>
      </c>
      <c r="E52" s="172">
        <v>35769</v>
      </c>
      <c r="F52" s="173" t="s">
        <v>11</v>
      </c>
      <c r="G52" s="174">
        <v>307.56105499680001</v>
      </c>
      <c r="H52" s="174">
        <v>476790</v>
      </c>
    </row>
    <row r="53" spans="1:8" ht="17.25" customHeight="1" x14ac:dyDescent="0.25">
      <c r="A53" s="174">
        <v>0.3</v>
      </c>
      <c r="B53" s="172">
        <v>472</v>
      </c>
      <c r="C53" s="172">
        <v>2</v>
      </c>
      <c r="D53" s="173" t="s">
        <v>8</v>
      </c>
      <c r="E53" s="172">
        <v>35769</v>
      </c>
      <c r="F53" s="173" t="s">
        <v>11</v>
      </c>
      <c r="G53" s="174">
        <v>230.67079124759999</v>
      </c>
      <c r="H53" s="174">
        <v>357598</v>
      </c>
    </row>
    <row r="54" spans="1:8" ht="17.25" customHeight="1" x14ac:dyDescent="0.25">
      <c r="A54" s="174">
        <v>0.2</v>
      </c>
      <c r="B54" s="172">
        <v>295</v>
      </c>
      <c r="C54" s="172">
        <v>2</v>
      </c>
      <c r="D54" s="173" t="s">
        <v>8</v>
      </c>
      <c r="E54" s="172">
        <v>35769</v>
      </c>
      <c r="F54" s="173" t="s">
        <v>11</v>
      </c>
      <c r="G54" s="174">
        <v>153.78052749840001</v>
      </c>
      <c r="H54" s="174">
        <v>238404</v>
      </c>
    </row>
    <row r="55" spans="1:8" ht="17.25" customHeight="1" x14ac:dyDescent="0.25">
      <c r="A55" s="174">
        <v>0.1</v>
      </c>
      <c r="B55" s="172">
        <v>118</v>
      </c>
      <c r="C55" s="172">
        <v>2</v>
      </c>
      <c r="D55" s="173" t="s">
        <v>8</v>
      </c>
      <c r="E55" s="172">
        <v>35769</v>
      </c>
      <c r="F55" s="173" t="s">
        <v>11</v>
      </c>
      <c r="G55" s="174">
        <v>76.890263749200003</v>
      </c>
      <c r="H55" s="174">
        <v>119207</v>
      </c>
    </row>
    <row r="56" spans="1:8" ht="17.25" customHeight="1" x14ac:dyDescent="0.25">
      <c r="A56" s="172">
        <v>0</v>
      </c>
      <c r="B56" s="172">
        <v>0</v>
      </c>
      <c r="C56" s="172">
        <v>2</v>
      </c>
      <c r="D56" s="173" t="s">
        <v>8</v>
      </c>
      <c r="E56" s="172">
        <v>35769</v>
      </c>
      <c r="F56" s="173" t="s">
        <v>11</v>
      </c>
      <c r="G56" s="174">
        <v>0</v>
      </c>
      <c r="H56" s="174">
        <v>0</v>
      </c>
    </row>
    <row r="57" spans="1:8" ht="17.25" customHeight="1" x14ac:dyDescent="0.25">
      <c r="A57" s="172">
        <v>1</v>
      </c>
      <c r="B57" s="172">
        <v>1534</v>
      </c>
      <c r="C57" s="172">
        <v>2</v>
      </c>
      <c r="D57" s="173" t="s">
        <v>13</v>
      </c>
      <c r="E57" s="172">
        <v>35136</v>
      </c>
      <c r="F57" s="173" t="s">
        <v>11</v>
      </c>
      <c r="G57" s="174">
        <v>768.90263749199994</v>
      </c>
      <c r="H57" s="174">
        <v>1248455</v>
      </c>
    </row>
    <row r="58" spans="1:8" ht="17.25" customHeight="1" x14ac:dyDescent="0.25">
      <c r="A58" s="174">
        <v>0.9</v>
      </c>
      <c r="B58" s="172">
        <v>1416</v>
      </c>
      <c r="C58" s="172">
        <v>2</v>
      </c>
      <c r="D58" s="173" t="s">
        <v>13</v>
      </c>
      <c r="E58" s="172">
        <v>35136</v>
      </c>
      <c r="F58" s="173" t="s">
        <v>11</v>
      </c>
      <c r="G58" s="174">
        <v>692.01237374280004</v>
      </c>
      <c r="H58" s="174">
        <v>1123613</v>
      </c>
    </row>
    <row r="59" spans="1:8" ht="17.25" customHeight="1" x14ac:dyDescent="0.25">
      <c r="A59" s="174">
        <v>0.8</v>
      </c>
      <c r="B59" s="172">
        <v>1239</v>
      </c>
      <c r="C59" s="172">
        <v>2</v>
      </c>
      <c r="D59" s="173" t="s">
        <v>13</v>
      </c>
      <c r="E59" s="172">
        <v>35136</v>
      </c>
      <c r="F59" s="173" t="s">
        <v>11</v>
      </c>
      <c r="G59" s="174">
        <v>615.12210999360002</v>
      </c>
      <c r="H59" s="174">
        <v>998771</v>
      </c>
    </row>
    <row r="60" spans="1:8" ht="17.25" customHeight="1" x14ac:dyDescent="0.25">
      <c r="A60" s="174">
        <v>0.7</v>
      </c>
      <c r="B60" s="172">
        <v>1062</v>
      </c>
      <c r="C60" s="172">
        <v>2</v>
      </c>
      <c r="D60" s="173" t="s">
        <v>13</v>
      </c>
      <c r="E60" s="172">
        <v>35136</v>
      </c>
      <c r="F60" s="173" t="s">
        <v>11</v>
      </c>
      <c r="G60" s="174">
        <v>538.23184624439989</v>
      </c>
      <c r="H60" s="174">
        <v>873929</v>
      </c>
    </row>
    <row r="61" spans="1:8" ht="17.25" customHeight="1" x14ac:dyDescent="0.25">
      <c r="A61" s="174">
        <v>0.6</v>
      </c>
      <c r="B61" s="172">
        <v>944</v>
      </c>
      <c r="C61" s="172">
        <v>2</v>
      </c>
      <c r="D61" s="173" t="s">
        <v>13</v>
      </c>
      <c r="E61" s="172">
        <v>35136</v>
      </c>
      <c r="F61" s="173" t="s">
        <v>11</v>
      </c>
      <c r="G61" s="174">
        <v>461.34158249519999</v>
      </c>
      <c r="H61" s="174">
        <v>749086</v>
      </c>
    </row>
    <row r="62" spans="1:8" ht="17.25" customHeight="1" x14ac:dyDescent="0.25">
      <c r="A62" s="174">
        <v>0.5</v>
      </c>
      <c r="B62" s="172">
        <v>767</v>
      </c>
      <c r="C62" s="172">
        <v>2</v>
      </c>
      <c r="D62" s="173" t="s">
        <v>13</v>
      </c>
      <c r="E62" s="172">
        <v>35136</v>
      </c>
      <c r="F62" s="173" t="s">
        <v>11</v>
      </c>
      <c r="G62" s="174">
        <v>384.45131874599997</v>
      </c>
      <c r="H62" s="174">
        <v>624244</v>
      </c>
    </row>
    <row r="63" spans="1:8" ht="17.25" customHeight="1" x14ac:dyDescent="0.25">
      <c r="A63" s="174">
        <v>0.4</v>
      </c>
      <c r="B63" s="172">
        <v>590</v>
      </c>
      <c r="C63" s="172">
        <v>2</v>
      </c>
      <c r="D63" s="173" t="s">
        <v>13</v>
      </c>
      <c r="E63" s="172">
        <v>35136</v>
      </c>
      <c r="F63" s="173" t="s">
        <v>11</v>
      </c>
      <c r="G63" s="174">
        <v>307.56105499680001</v>
      </c>
      <c r="H63" s="174">
        <v>499399</v>
      </c>
    </row>
    <row r="64" spans="1:8" ht="17.25" customHeight="1" x14ac:dyDescent="0.25">
      <c r="A64" s="174">
        <v>0.3</v>
      </c>
      <c r="B64" s="172">
        <v>472</v>
      </c>
      <c r="C64" s="172">
        <v>2</v>
      </c>
      <c r="D64" s="173" t="s">
        <v>13</v>
      </c>
      <c r="E64" s="172">
        <v>35136</v>
      </c>
      <c r="F64" s="173" t="s">
        <v>11</v>
      </c>
      <c r="G64" s="174">
        <v>230.67079124759999</v>
      </c>
      <c r="H64" s="174">
        <v>374556</v>
      </c>
    </row>
    <row r="65" spans="1:8" ht="17.25" customHeight="1" x14ac:dyDescent="0.25">
      <c r="A65" s="174">
        <v>0.2</v>
      </c>
      <c r="B65" s="172">
        <v>295</v>
      </c>
      <c r="C65" s="172">
        <v>2</v>
      </c>
      <c r="D65" s="173" t="s">
        <v>13</v>
      </c>
      <c r="E65" s="172">
        <v>35136</v>
      </c>
      <c r="F65" s="173" t="s">
        <v>11</v>
      </c>
      <c r="G65" s="174">
        <v>153.78052749840001</v>
      </c>
      <c r="H65" s="174">
        <v>249710</v>
      </c>
    </row>
    <row r="66" spans="1:8" ht="17.25" customHeight="1" x14ac:dyDescent="0.25">
      <c r="A66" s="174">
        <v>0.1</v>
      </c>
      <c r="B66" s="172">
        <v>118</v>
      </c>
      <c r="C66" s="172">
        <v>2</v>
      </c>
      <c r="D66" s="173" t="s">
        <v>13</v>
      </c>
      <c r="E66" s="172">
        <v>35136</v>
      </c>
      <c r="F66" s="173" t="s">
        <v>11</v>
      </c>
      <c r="G66" s="174">
        <v>76.890263749200003</v>
      </c>
      <c r="H66" s="174">
        <v>124861</v>
      </c>
    </row>
    <row r="67" spans="1:8" ht="17.25" customHeight="1" x14ac:dyDescent="0.25">
      <c r="A67" s="172">
        <v>0</v>
      </c>
      <c r="B67" s="172">
        <v>0</v>
      </c>
      <c r="C67" s="172">
        <v>2</v>
      </c>
      <c r="D67" s="173" t="s">
        <v>13</v>
      </c>
      <c r="E67" s="172">
        <v>35136</v>
      </c>
      <c r="F67" s="173" t="s">
        <v>11</v>
      </c>
      <c r="G67" s="174">
        <v>0</v>
      </c>
      <c r="H67" s="174">
        <v>0</v>
      </c>
    </row>
    <row r="68" spans="1:8" ht="17.25" customHeight="1" x14ac:dyDescent="0.25">
      <c r="A68" s="172">
        <v>1</v>
      </c>
      <c r="B68" s="172">
        <v>1534</v>
      </c>
      <c r="C68" s="172">
        <v>2</v>
      </c>
      <c r="D68" s="173" t="s">
        <v>10</v>
      </c>
      <c r="E68" s="172">
        <v>36040</v>
      </c>
      <c r="F68" s="173" t="s">
        <v>11</v>
      </c>
      <c r="G68" s="174">
        <v>768.90263749199994</v>
      </c>
      <c r="H68" s="174">
        <v>1276318</v>
      </c>
    </row>
    <row r="69" spans="1:8" ht="17.25" customHeight="1" x14ac:dyDescent="0.25">
      <c r="A69" s="174">
        <v>0.9</v>
      </c>
      <c r="B69" s="172">
        <v>1416</v>
      </c>
      <c r="C69" s="172">
        <v>2</v>
      </c>
      <c r="D69" s="173" t="s">
        <v>10</v>
      </c>
      <c r="E69" s="172">
        <v>36040</v>
      </c>
      <c r="F69" s="173" t="s">
        <v>11</v>
      </c>
      <c r="G69" s="174">
        <v>692.01237374280004</v>
      </c>
      <c r="H69" s="174">
        <v>1148689</v>
      </c>
    </row>
    <row r="70" spans="1:8" ht="17.25" customHeight="1" x14ac:dyDescent="0.25">
      <c r="A70" s="174">
        <v>0.8</v>
      </c>
      <c r="B70" s="172">
        <v>1239</v>
      </c>
      <c r="C70" s="172">
        <v>2</v>
      </c>
      <c r="D70" s="173" t="s">
        <v>10</v>
      </c>
      <c r="E70" s="172">
        <v>36040</v>
      </c>
      <c r="F70" s="173" t="s">
        <v>11</v>
      </c>
      <c r="G70" s="174">
        <v>615.12210999360002</v>
      </c>
      <c r="H70" s="174">
        <v>1021061</v>
      </c>
    </row>
    <row r="71" spans="1:8" ht="17.25" customHeight="1" x14ac:dyDescent="0.25">
      <c r="A71" s="174">
        <v>0.7</v>
      </c>
      <c r="B71" s="172">
        <v>1062</v>
      </c>
      <c r="C71" s="172">
        <v>2</v>
      </c>
      <c r="D71" s="173" t="s">
        <v>10</v>
      </c>
      <c r="E71" s="172">
        <v>36040</v>
      </c>
      <c r="F71" s="173" t="s">
        <v>11</v>
      </c>
      <c r="G71" s="174">
        <v>538.23184624439989</v>
      </c>
      <c r="H71" s="174">
        <v>893433</v>
      </c>
    </row>
    <row r="72" spans="1:8" ht="17.25" customHeight="1" x14ac:dyDescent="0.25">
      <c r="A72" s="174">
        <v>0.6</v>
      </c>
      <c r="B72" s="172">
        <v>944</v>
      </c>
      <c r="C72" s="172">
        <v>2</v>
      </c>
      <c r="D72" s="173" t="s">
        <v>10</v>
      </c>
      <c r="E72" s="172">
        <v>36040</v>
      </c>
      <c r="F72" s="173" t="s">
        <v>11</v>
      </c>
      <c r="G72" s="174">
        <v>461.34158249519999</v>
      </c>
      <c r="H72" s="174">
        <v>765804</v>
      </c>
    </row>
    <row r="73" spans="1:8" ht="17.25" customHeight="1" x14ac:dyDescent="0.25">
      <c r="A73" s="174">
        <v>0.5</v>
      </c>
      <c r="B73" s="172">
        <v>767</v>
      </c>
      <c r="C73" s="172">
        <v>2</v>
      </c>
      <c r="D73" s="173" t="s">
        <v>10</v>
      </c>
      <c r="E73" s="172">
        <v>36040</v>
      </c>
      <c r="F73" s="173" t="s">
        <v>11</v>
      </c>
      <c r="G73" s="174">
        <v>384.45131874599997</v>
      </c>
      <c r="H73" s="174">
        <v>638176</v>
      </c>
    </row>
    <row r="74" spans="1:8" ht="17.25" customHeight="1" x14ac:dyDescent="0.25">
      <c r="A74" s="174">
        <v>0.4</v>
      </c>
      <c r="B74" s="172">
        <v>590</v>
      </c>
      <c r="C74" s="172">
        <v>2</v>
      </c>
      <c r="D74" s="173" t="s">
        <v>10</v>
      </c>
      <c r="E74" s="172">
        <v>36040</v>
      </c>
      <c r="F74" s="173" t="s">
        <v>11</v>
      </c>
      <c r="G74" s="174">
        <v>307.56105499680001</v>
      </c>
      <c r="H74" s="174">
        <v>510545</v>
      </c>
    </row>
    <row r="75" spans="1:8" ht="17.25" customHeight="1" x14ac:dyDescent="0.25">
      <c r="A75" s="174">
        <v>0.3</v>
      </c>
      <c r="B75" s="172">
        <v>472</v>
      </c>
      <c r="C75" s="172">
        <v>2</v>
      </c>
      <c r="D75" s="173" t="s">
        <v>10</v>
      </c>
      <c r="E75" s="172">
        <v>36040</v>
      </c>
      <c r="F75" s="173" t="s">
        <v>11</v>
      </c>
      <c r="G75" s="174">
        <v>230.67079124759999</v>
      </c>
      <c r="H75" s="174">
        <v>382916</v>
      </c>
    </row>
    <row r="76" spans="1:8" ht="17.25" customHeight="1" x14ac:dyDescent="0.25">
      <c r="A76" s="174">
        <v>0.2</v>
      </c>
      <c r="B76" s="172">
        <v>295</v>
      </c>
      <c r="C76" s="172">
        <v>2</v>
      </c>
      <c r="D76" s="173" t="s">
        <v>10</v>
      </c>
      <c r="E76" s="172">
        <v>36040</v>
      </c>
      <c r="F76" s="173" t="s">
        <v>11</v>
      </c>
      <c r="G76" s="174">
        <v>153.78052749840001</v>
      </c>
      <c r="H76" s="174">
        <v>255284</v>
      </c>
    </row>
    <row r="77" spans="1:8" ht="17.25" customHeight="1" x14ac:dyDescent="0.25">
      <c r="A77" s="174">
        <v>0.1</v>
      </c>
      <c r="B77" s="172">
        <v>118</v>
      </c>
      <c r="C77" s="172">
        <v>2</v>
      </c>
      <c r="D77" s="173" t="s">
        <v>10</v>
      </c>
      <c r="E77" s="172">
        <v>36040</v>
      </c>
      <c r="F77" s="173" t="s">
        <v>11</v>
      </c>
      <c r="G77" s="174">
        <v>76.890263749200003</v>
      </c>
      <c r="H77" s="174">
        <v>127648</v>
      </c>
    </row>
    <row r="78" spans="1:8" ht="17.25" customHeight="1" x14ac:dyDescent="0.25">
      <c r="A78" s="172">
        <v>0</v>
      </c>
      <c r="B78" s="172">
        <v>0</v>
      </c>
      <c r="C78" s="172">
        <v>2</v>
      </c>
      <c r="D78" s="173" t="s">
        <v>10</v>
      </c>
      <c r="E78" s="172">
        <v>36040</v>
      </c>
      <c r="F78" s="173" t="s">
        <v>11</v>
      </c>
      <c r="G78" s="174">
        <v>0</v>
      </c>
      <c r="H78" s="174">
        <v>0</v>
      </c>
    </row>
    <row r="79" spans="1:8" ht="17.25" customHeight="1" x14ac:dyDescent="0.25">
      <c r="A79" s="172">
        <v>1</v>
      </c>
      <c r="B79" s="172">
        <v>1534</v>
      </c>
      <c r="C79" s="172">
        <v>2</v>
      </c>
      <c r="D79" s="173" t="s">
        <v>12</v>
      </c>
      <c r="E79" s="172">
        <v>36507</v>
      </c>
      <c r="F79" s="173" t="s">
        <v>11</v>
      </c>
      <c r="G79" s="174">
        <v>768.90263749199994</v>
      </c>
      <c r="H79" s="174">
        <v>1276318</v>
      </c>
    </row>
    <row r="80" spans="1:8" ht="17.25" customHeight="1" x14ac:dyDescent="0.25">
      <c r="A80" s="174">
        <v>0.9</v>
      </c>
      <c r="B80" s="172">
        <v>1416</v>
      </c>
      <c r="C80" s="172">
        <v>2</v>
      </c>
      <c r="D80" s="173" t="s">
        <v>12</v>
      </c>
      <c r="E80" s="172">
        <v>36507</v>
      </c>
      <c r="F80" s="173" t="s">
        <v>11</v>
      </c>
      <c r="G80" s="174">
        <v>692.01237374280004</v>
      </c>
      <c r="H80" s="174">
        <v>1148689</v>
      </c>
    </row>
    <row r="81" spans="1:8" ht="17.25" customHeight="1" x14ac:dyDescent="0.25">
      <c r="A81" s="174">
        <v>0.8</v>
      </c>
      <c r="B81" s="172">
        <v>1239</v>
      </c>
      <c r="C81" s="172">
        <v>2</v>
      </c>
      <c r="D81" s="173" t="s">
        <v>12</v>
      </c>
      <c r="E81" s="172">
        <v>36507</v>
      </c>
      <c r="F81" s="173" t="s">
        <v>11</v>
      </c>
      <c r="G81" s="174">
        <v>615.12210999360002</v>
      </c>
      <c r="H81" s="174">
        <v>1021061</v>
      </c>
    </row>
    <row r="82" spans="1:8" ht="17.25" customHeight="1" x14ac:dyDescent="0.25">
      <c r="A82" s="174">
        <v>0.7</v>
      </c>
      <c r="B82" s="172">
        <v>1062</v>
      </c>
      <c r="C82" s="172">
        <v>2</v>
      </c>
      <c r="D82" s="173" t="s">
        <v>12</v>
      </c>
      <c r="E82" s="172">
        <v>36507</v>
      </c>
      <c r="F82" s="173" t="s">
        <v>11</v>
      </c>
      <c r="G82" s="174">
        <v>538.23184624439989</v>
      </c>
      <c r="H82" s="174">
        <v>893433</v>
      </c>
    </row>
    <row r="83" spans="1:8" ht="17.25" customHeight="1" x14ac:dyDescent="0.25">
      <c r="A83" s="174">
        <v>0.6</v>
      </c>
      <c r="B83" s="172">
        <v>944</v>
      </c>
      <c r="C83" s="172">
        <v>2</v>
      </c>
      <c r="D83" s="173" t="s">
        <v>12</v>
      </c>
      <c r="E83" s="172">
        <v>36507</v>
      </c>
      <c r="F83" s="173" t="s">
        <v>11</v>
      </c>
      <c r="G83" s="174">
        <v>461.34158249519999</v>
      </c>
      <c r="H83" s="174">
        <v>756804</v>
      </c>
    </row>
    <row r="84" spans="1:8" ht="17.25" customHeight="1" x14ac:dyDescent="0.25">
      <c r="A84" s="174">
        <v>0.5</v>
      </c>
      <c r="B84" s="172">
        <v>767</v>
      </c>
      <c r="C84" s="172">
        <v>2</v>
      </c>
      <c r="D84" s="173" t="s">
        <v>12</v>
      </c>
      <c r="E84" s="172">
        <v>36507</v>
      </c>
      <c r="F84" s="173" t="s">
        <v>11</v>
      </c>
      <c r="G84" s="174">
        <v>384.45131874599997</v>
      </c>
      <c r="H84" s="174">
        <v>638176</v>
      </c>
    </row>
    <row r="85" spans="1:8" ht="17.25" customHeight="1" x14ac:dyDescent="0.25">
      <c r="A85" s="174">
        <v>0.4</v>
      </c>
      <c r="B85" s="172">
        <v>590</v>
      </c>
      <c r="C85" s="172">
        <v>2</v>
      </c>
      <c r="D85" s="173" t="s">
        <v>12</v>
      </c>
      <c r="E85" s="172">
        <v>36507</v>
      </c>
      <c r="F85" s="173" t="s">
        <v>11</v>
      </c>
      <c r="G85" s="174">
        <v>307.56105499680001</v>
      </c>
      <c r="H85" s="174">
        <v>510545</v>
      </c>
    </row>
    <row r="86" spans="1:8" ht="17.25" customHeight="1" x14ac:dyDescent="0.25">
      <c r="A86" s="174">
        <v>0.3</v>
      </c>
      <c r="B86" s="172">
        <v>472</v>
      </c>
      <c r="C86" s="172">
        <v>2</v>
      </c>
      <c r="D86" s="173" t="s">
        <v>12</v>
      </c>
      <c r="E86" s="172">
        <v>36507</v>
      </c>
      <c r="F86" s="173" t="s">
        <v>11</v>
      </c>
      <c r="G86" s="174">
        <v>230.67079124759999</v>
      </c>
      <c r="H86" s="174">
        <v>382916</v>
      </c>
    </row>
    <row r="87" spans="1:8" ht="17.25" customHeight="1" x14ac:dyDescent="0.25">
      <c r="A87" s="174">
        <v>0.2</v>
      </c>
      <c r="B87" s="172">
        <v>295</v>
      </c>
      <c r="C87" s="172">
        <v>2</v>
      </c>
      <c r="D87" s="173" t="s">
        <v>12</v>
      </c>
      <c r="E87" s="172">
        <v>36507</v>
      </c>
      <c r="F87" s="173" t="s">
        <v>11</v>
      </c>
      <c r="G87" s="174">
        <v>153.78052749840001</v>
      </c>
      <c r="H87" s="174">
        <v>255284</v>
      </c>
    </row>
    <row r="88" spans="1:8" ht="17.25" customHeight="1" x14ac:dyDescent="0.25">
      <c r="A88" s="174">
        <v>0.1</v>
      </c>
      <c r="B88" s="172">
        <v>118</v>
      </c>
      <c r="C88" s="172">
        <v>2</v>
      </c>
      <c r="D88" s="173" t="s">
        <v>12</v>
      </c>
      <c r="E88" s="172">
        <v>36507</v>
      </c>
      <c r="F88" s="173" t="s">
        <v>11</v>
      </c>
      <c r="G88" s="174">
        <v>76.890263749200003</v>
      </c>
      <c r="H88" s="174">
        <v>127648</v>
      </c>
    </row>
    <row r="89" spans="1:8" ht="17.25" customHeight="1" x14ac:dyDescent="0.25">
      <c r="A89" s="172">
        <v>0</v>
      </c>
      <c r="B89" s="172">
        <v>0</v>
      </c>
      <c r="C89" s="172">
        <v>2</v>
      </c>
      <c r="D89" s="173" t="s">
        <v>12</v>
      </c>
      <c r="E89" s="172">
        <v>36507</v>
      </c>
      <c r="F89" s="173" t="s">
        <v>11</v>
      </c>
      <c r="G89" s="174">
        <v>0</v>
      </c>
      <c r="H89" s="174">
        <v>0</v>
      </c>
    </row>
    <row r="90" spans="1:8" ht="17.25" customHeight="1" x14ac:dyDescent="0.25">
      <c r="A90" s="172">
        <v>1</v>
      </c>
      <c r="B90" s="172">
        <v>1534</v>
      </c>
      <c r="C90" s="172">
        <v>1</v>
      </c>
      <c r="D90" s="173" t="s">
        <v>8</v>
      </c>
      <c r="E90" s="172">
        <v>35801</v>
      </c>
      <c r="F90" s="173" t="s">
        <v>9</v>
      </c>
      <c r="G90" s="174">
        <v>768.90263749199994</v>
      </c>
      <c r="H90" s="174">
        <v>1061913</v>
      </c>
    </row>
    <row r="91" spans="1:8" ht="17.25" customHeight="1" x14ac:dyDescent="0.25">
      <c r="A91" s="174">
        <v>0.9</v>
      </c>
      <c r="B91" s="172">
        <v>1416</v>
      </c>
      <c r="C91" s="172">
        <v>1</v>
      </c>
      <c r="D91" s="173" t="s">
        <v>8</v>
      </c>
      <c r="E91" s="172">
        <v>35801</v>
      </c>
      <c r="F91" s="173" t="s">
        <v>9</v>
      </c>
      <c r="G91" s="174">
        <v>692.01237374280004</v>
      </c>
      <c r="H91" s="174">
        <v>955723</v>
      </c>
    </row>
    <row r="92" spans="1:8" ht="17.25" customHeight="1" x14ac:dyDescent="0.25">
      <c r="A92" s="174">
        <v>0.8</v>
      </c>
      <c r="B92" s="172">
        <v>1239</v>
      </c>
      <c r="C92" s="172">
        <v>1</v>
      </c>
      <c r="D92" s="173" t="s">
        <v>8</v>
      </c>
      <c r="E92" s="172">
        <v>35801</v>
      </c>
      <c r="F92" s="173" t="s">
        <v>9</v>
      </c>
      <c r="G92" s="174">
        <v>615.12210999360002</v>
      </c>
      <c r="H92" s="174">
        <v>849533</v>
      </c>
    </row>
    <row r="93" spans="1:8" ht="17.25" customHeight="1" x14ac:dyDescent="0.25">
      <c r="A93" s="174">
        <v>0.7</v>
      </c>
      <c r="B93" s="172">
        <v>1062</v>
      </c>
      <c r="C93" s="172">
        <v>1</v>
      </c>
      <c r="D93" s="173" t="s">
        <v>8</v>
      </c>
      <c r="E93" s="172">
        <v>35801</v>
      </c>
      <c r="F93" s="173" t="s">
        <v>9</v>
      </c>
      <c r="G93" s="174">
        <v>538.23184624439989</v>
      </c>
      <c r="H93" s="174">
        <v>743343</v>
      </c>
    </row>
    <row r="94" spans="1:8" ht="17.25" customHeight="1" x14ac:dyDescent="0.25">
      <c r="A94" s="174">
        <v>0.6</v>
      </c>
      <c r="B94" s="172">
        <v>944</v>
      </c>
      <c r="C94" s="172">
        <v>1</v>
      </c>
      <c r="D94" s="173" t="s">
        <v>8</v>
      </c>
      <c r="E94" s="172">
        <v>35801</v>
      </c>
      <c r="F94" s="173" t="s">
        <v>9</v>
      </c>
      <c r="G94" s="174">
        <v>461.34158249519999</v>
      </c>
      <c r="H94" s="174">
        <v>637153</v>
      </c>
    </row>
    <row r="95" spans="1:8" ht="17.25" customHeight="1" x14ac:dyDescent="0.25">
      <c r="A95" s="174">
        <v>0.5</v>
      </c>
      <c r="B95" s="172">
        <v>767</v>
      </c>
      <c r="C95" s="172">
        <v>1</v>
      </c>
      <c r="D95" s="173" t="s">
        <v>8</v>
      </c>
      <c r="E95" s="172">
        <v>35801</v>
      </c>
      <c r="F95" s="173" t="s">
        <v>9</v>
      </c>
      <c r="G95" s="174">
        <v>384.45131874599997</v>
      </c>
      <c r="H95" s="174">
        <v>530962</v>
      </c>
    </row>
    <row r="96" spans="1:8" ht="17.25" customHeight="1" x14ac:dyDescent="0.25">
      <c r="A96" s="174">
        <v>0.4</v>
      </c>
      <c r="B96" s="172">
        <v>590</v>
      </c>
      <c r="C96" s="172">
        <v>1</v>
      </c>
      <c r="D96" s="173" t="s">
        <v>8</v>
      </c>
      <c r="E96" s="172">
        <v>35801</v>
      </c>
      <c r="F96" s="173" t="s">
        <v>9</v>
      </c>
      <c r="G96" s="174">
        <v>307.56105499680001</v>
      </c>
      <c r="H96" s="174">
        <v>424772</v>
      </c>
    </row>
    <row r="97" spans="1:8" ht="17.25" customHeight="1" x14ac:dyDescent="0.25">
      <c r="A97" s="174">
        <v>0.3</v>
      </c>
      <c r="B97" s="172">
        <v>472</v>
      </c>
      <c r="C97" s="172">
        <v>1</v>
      </c>
      <c r="D97" s="173" t="s">
        <v>8</v>
      </c>
      <c r="E97" s="172">
        <v>35801</v>
      </c>
      <c r="F97" s="173" t="s">
        <v>9</v>
      </c>
      <c r="G97" s="174">
        <v>230.67079124759999</v>
      </c>
      <c r="H97" s="174">
        <v>318581</v>
      </c>
    </row>
    <row r="98" spans="1:8" ht="17.25" customHeight="1" x14ac:dyDescent="0.25">
      <c r="A98" s="174">
        <v>0.2</v>
      </c>
      <c r="B98" s="172">
        <v>295</v>
      </c>
      <c r="C98" s="172">
        <v>1</v>
      </c>
      <c r="D98" s="173" t="s">
        <v>8</v>
      </c>
      <c r="E98" s="172">
        <v>35801</v>
      </c>
      <c r="F98" s="173" t="s">
        <v>9</v>
      </c>
      <c r="G98" s="174">
        <v>153.78052749840001</v>
      </c>
      <c r="H98" s="174">
        <v>212389</v>
      </c>
    </row>
    <row r="99" spans="1:8" ht="17.25" customHeight="1" x14ac:dyDescent="0.25">
      <c r="A99" s="174">
        <v>0.1</v>
      </c>
      <c r="B99" s="172">
        <v>118</v>
      </c>
      <c r="C99" s="172">
        <v>1</v>
      </c>
      <c r="D99" s="173" t="s">
        <v>8</v>
      </c>
      <c r="E99" s="172">
        <v>35801</v>
      </c>
      <c r="F99" s="173" t="s">
        <v>9</v>
      </c>
      <c r="G99" s="174">
        <v>76.890263749200003</v>
      </c>
      <c r="H99" s="174">
        <v>106211</v>
      </c>
    </row>
    <row r="100" spans="1:8" ht="17.25" customHeight="1" x14ac:dyDescent="0.25">
      <c r="A100" s="172">
        <v>0</v>
      </c>
      <c r="B100" s="172">
        <v>0</v>
      </c>
      <c r="C100" s="172">
        <v>1</v>
      </c>
      <c r="D100" s="173" t="s">
        <v>8</v>
      </c>
      <c r="E100" s="172">
        <v>35801</v>
      </c>
      <c r="F100" s="173" t="s">
        <v>9</v>
      </c>
      <c r="G100" s="174">
        <v>0</v>
      </c>
      <c r="H100" s="174">
        <v>0</v>
      </c>
    </row>
    <row r="101" spans="1:8" ht="17.25" customHeight="1" x14ac:dyDescent="0.25">
      <c r="A101" s="172">
        <v>1</v>
      </c>
      <c r="B101" s="172">
        <v>1534</v>
      </c>
      <c r="C101" s="172">
        <v>1</v>
      </c>
      <c r="D101" s="173" t="s">
        <v>13</v>
      </c>
      <c r="E101" s="172">
        <v>35223</v>
      </c>
      <c r="F101" s="173" t="s">
        <v>9</v>
      </c>
      <c r="G101" s="174">
        <v>768.90263749199994</v>
      </c>
      <c r="H101" s="174">
        <v>1051995</v>
      </c>
    </row>
    <row r="102" spans="1:8" ht="17.25" customHeight="1" x14ac:dyDescent="0.25">
      <c r="A102" s="174">
        <v>0.9</v>
      </c>
      <c r="B102" s="172">
        <v>1416</v>
      </c>
      <c r="C102" s="172">
        <v>1</v>
      </c>
      <c r="D102" s="173" t="s">
        <v>13</v>
      </c>
      <c r="E102" s="172">
        <v>35223</v>
      </c>
      <c r="F102" s="173" t="s">
        <v>9</v>
      </c>
      <c r="G102" s="174">
        <v>692.01237374280004</v>
      </c>
      <c r="H102" s="174">
        <v>946797</v>
      </c>
    </row>
    <row r="103" spans="1:8" ht="17.25" customHeight="1" x14ac:dyDescent="0.25">
      <c r="A103" s="174">
        <v>0.8</v>
      </c>
      <c r="B103" s="172">
        <v>1239</v>
      </c>
      <c r="C103" s="172">
        <v>1</v>
      </c>
      <c r="D103" s="173" t="s">
        <v>13</v>
      </c>
      <c r="E103" s="172">
        <v>35223</v>
      </c>
      <c r="F103" s="173" t="s">
        <v>9</v>
      </c>
      <c r="G103" s="174">
        <v>615.12210999360002</v>
      </c>
      <c r="H103" s="174">
        <v>841598</v>
      </c>
    </row>
    <row r="104" spans="1:8" ht="17.25" customHeight="1" x14ac:dyDescent="0.25">
      <c r="A104" s="174">
        <v>0.7</v>
      </c>
      <c r="B104" s="172">
        <v>1062</v>
      </c>
      <c r="C104" s="172">
        <v>1</v>
      </c>
      <c r="D104" s="173" t="s">
        <v>13</v>
      </c>
      <c r="E104" s="172">
        <v>35223</v>
      </c>
      <c r="F104" s="173" t="s">
        <v>9</v>
      </c>
      <c r="G104" s="174">
        <v>538.23184624439989</v>
      </c>
      <c r="H104" s="174">
        <v>736400</v>
      </c>
    </row>
    <row r="105" spans="1:8" ht="17.25" customHeight="1" x14ac:dyDescent="0.25">
      <c r="A105" s="174">
        <v>0.6</v>
      </c>
      <c r="B105" s="172">
        <v>944</v>
      </c>
      <c r="C105" s="172">
        <v>1</v>
      </c>
      <c r="D105" s="173" t="s">
        <v>13</v>
      </c>
      <c r="E105" s="172">
        <v>35223</v>
      </c>
      <c r="F105" s="173" t="s">
        <v>9</v>
      </c>
      <c r="G105" s="174">
        <v>461.34158249519999</v>
      </c>
      <c r="H105" s="174">
        <v>631201</v>
      </c>
    </row>
    <row r="106" spans="1:8" ht="17.25" customHeight="1" x14ac:dyDescent="0.25">
      <c r="A106" s="174">
        <v>0.5</v>
      </c>
      <c r="B106" s="172">
        <v>767</v>
      </c>
      <c r="C106" s="172">
        <v>1</v>
      </c>
      <c r="D106" s="173" t="s">
        <v>13</v>
      </c>
      <c r="E106" s="172">
        <v>35223</v>
      </c>
      <c r="F106" s="173" t="s">
        <v>9</v>
      </c>
      <c r="G106" s="174">
        <v>384.45131874599997</v>
      </c>
      <c r="H106" s="174">
        <v>526002</v>
      </c>
    </row>
    <row r="107" spans="1:8" ht="17.25" customHeight="1" x14ac:dyDescent="0.25">
      <c r="A107" s="174">
        <v>0.4</v>
      </c>
      <c r="B107" s="172">
        <v>590</v>
      </c>
      <c r="C107" s="172">
        <v>1</v>
      </c>
      <c r="D107" s="173" t="s">
        <v>13</v>
      </c>
      <c r="E107" s="172">
        <v>35223</v>
      </c>
      <c r="F107" s="173" t="s">
        <v>9</v>
      </c>
      <c r="G107" s="174">
        <v>307.56105499680001</v>
      </c>
      <c r="H107" s="174">
        <v>420804</v>
      </c>
    </row>
    <row r="108" spans="1:8" ht="17.25" customHeight="1" x14ac:dyDescent="0.25">
      <c r="A108" s="174">
        <v>0.3</v>
      </c>
      <c r="B108" s="172">
        <v>472</v>
      </c>
      <c r="C108" s="172">
        <v>1</v>
      </c>
      <c r="D108" s="173" t="s">
        <v>13</v>
      </c>
      <c r="E108" s="172">
        <v>35223</v>
      </c>
      <c r="F108" s="173" t="s">
        <v>9</v>
      </c>
      <c r="G108" s="174">
        <v>230.67079124759999</v>
      </c>
      <c r="H108" s="174">
        <v>315605</v>
      </c>
    </row>
    <row r="109" spans="1:8" ht="17.25" customHeight="1" x14ac:dyDescent="0.25">
      <c r="A109" s="174">
        <v>0.2</v>
      </c>
      <c r="B109" s="172">
        <v>295</v>
      </c>
      <c r="C109" s="172">
        <v>1</v>
      </c>
      <c r="D109" s="173" t="s">
        <v>13</v>
      </c>
      <c r="E109" s="172">
        <v>35223</v>
      </c>
      <c r="F109" s="173" t="s">
        <v>9</v>
      </c>
      <c r="G109" s="174">
        <v>153.78052749840001</v>
      </c>
      <c r="H109" s="174">
        <v>210405</v>
      </c>
    </row>
    <row r="110" spans="1:8" ht="17.25" customHeight="1" x14ac:dyDescent="0.25">
      <c r="A110" s="174">
        <v>0.1</v>
      </c>
      <c r="B110" s="172">
        <v>118</v>
      </c>
      <c r="C110" s="172">
        <v>1</v>
      </c>
      <c r="D110" s="173" t="s">
        <v>13</v>
      </c>
      <c r="E110" s="172">
        <v>35223</v>
      </c>
      <c r="F110" s="173" t="s">
        <v>9</v>
      </c>
      <c r="G110" s="174">
        <v>76.890263749200003</v>
      </c>
      <c r="H110" s="174">
        <v>105222</v>
      </c>
    </row>
    <row r="111" spans="1:8" ht="17.25" customHeight="1" x14ac:dyDescent="0.25">
      <c r="A111" s="172">
        <v>0</v>
      </c>
      <c r="B111" s="172">
        <v>0</v>
      </c>
      <c r="C111" s="172">
        <v>1</v>
      </c>
      <c r="D111" s="173" t="s">
        <v>13</v>
      </c>
      <c r="E111" s="172">
        <v>35223</v>
      </c>
      <c r="F111" s="173" t="s">
        <v>9</v>
      </c>
      <c r="G111" s="174">
        <v>0</v>
      </c>
      <c r="H111" s="174">
        <v>0</v>
      </c>
    </row>
    <row r="112" spans="1:8" ht="17.25" customHeight="1" x14ac:dyDescent="0.25">
      <c r="A112" s="172">
        <v>1</v>
      </c>
      <c r="B112" s="172">
        <v>1534</v>
      </c>
      <c r="C112" s="172">
        <v>1</v>
      </c>
      <c r="D112" s="173" t="s">
        <v>10</v>
      </c>
      <c r="E112" s="172">
        <v>36117</v>
      </c>
      <c r="F112" s="173" t="s">
        <v>9</v>
      </c>
      <c r="G112" s="174">
        <v>768.90263749199994</v>
      </c>
      <c r="H112" s="174">
        <v>1142294</v>
      </c>
    </row>
    <row r="113" spans="1:8" ht="17.25" customHeight="1" x14ac:dyDescent="0.25">
      <c r="A113" s="174">
        <v>0.9</v>
      </c>
      <c r="B113" s="172">
        <v>1416</v>
      </c>
      <c r="C113" s="172">
        <v>1</v>
      </c>
      <c r="D113" s="173" t="s">
        <v>10</v>
      </c>
      <c r="E113" s="172">
        <v>36117</v>
      </c>
      <c r="F113" s="173" t="s">
        <v>9</v>
      </c>
      <c r="G113" s="174">
        <v>692.01237374280004</v>
      </c>
      <c r="H113" s="174">
        <v>1028066</v>
      </c>
    </row>
    <row r="114" spans="1:8" ht="17.25" customHeight="1" x14ac:dyDescent="0.25">
      <c r="A114" s="174">
        <v>0.8</v>
      </c>
      <c r="B114" s="172">
        <v>1239</v>
      </c>
      <c r="C114" s="172">
        <v>1</v>
      </c>
      <c r="D114" s="173" t="s">
        <v>10</v>
      </c>
      <c r="E114" s="172">
        <v>36117</v>
      </c>
      <c r="F114" s="173" t="s">
        <v>9</v>
      </c>
      <c r="G114" s="174">
        <v>615.12210999360002</v>
      </c>
      <c r="H114" s="174">
        <v>913837</v>
      </c>
    </row>
    <row r="115" spans="1:8" ht="17.25" customHeight="1" x14ac:dyDescent="0.25">
      <c r="A115" s="174">
        <v>0.7</v>
      </c>
      <c r="B115" s="172">
        <v>1062</v>
      </c>
      <c r="C115" s="172">
        <v>1</v>
      </c>
      <c r="D115" s="173" t="s">
        <v>10</v>
      </c>
      <c r="E115" s="172">
        <v>36117</v>
      </c>
      <c r="F115" s="173" t="s">
        <v>9</v>
      </c>
      <c r="G115" s="174">
        <v>538.23184624439989</v>
      </c>
      <c r="H115" s="174">
        <v>799610</v>
      </c>
    </row>
    <row r="116" spans="1:8" ht="17.25" customHeight="1" x14ac:dyDescent="0.25">
      <c r="A116" s="174">
        <v>0.6</v>
      </c>
      <c r="B116" s="172">
        <v>944</v>
      </c>
      <c r="C116" s="172">
        <v>1</v>
      </c>
      <c r="D116" s="173" t="s">
        <v>10</v>
      </c>
      <c r="E116" s="172">
        <v>36117</v>
      </c>
      <c r="F116" s="173" t="s">
        <v>9</v>
      </c>
      <c r="G116" s="174">
        <v>461.34158249519999</v>
      </c>
      <c r="H116" s="174">
        <v>685382</v>
      </c>
    </row>
    <row r="117" spans="1:8" ht="17.25" customHeight="1" x14ac:dyDescent="0.25">
      <c r="A117" s="174">
        <v>0.5</v>
      </c>
      <c r="B117" s="172">
        <v>767</v>
      </c>
      <c r="C117" s="172">
        <v>1</v>
      </c>
      <c r="D117" s="173" t="s">
        <v>10</v>
      </c>
      <c r="E117" s="172">
        <v>36117</v>
      </c>
      <c r="F117" s="173" t="s">
        <v>9</v>
      </c>
      <c r="G117" s="174">
        <v>384.45131874599997</v>
      </c>
      <c r="H117" s="174">
        <v>571153</v>
      </c>
    </row>
    <row r="118" spans="1:8" ht="17.25" customHeight="1" x14ac:dyDescent="0.25">
      <c r="A118" s="174">
        <v>0.4</v>
      </c>
      <c r="B118" s="172">
        <v>590</v>
      </c>
      <c r="C118" s="172">
        <v>1</v>
      </c>
      <c r="D118" s="173" t="s">
        <v>10</v>
      </c>
      <c r="E118" s="172">
        <v>36117</v>
      </c>
      <c r="F118" s="173" t="s">
        <v>9</v>
      </c>
      <c r="G118" s="174">
        <v>307.56105499680001</v>
      </c>
      <c r="H118" s="174">
        <v>456925</v>
      </c>
    </row>
    <row r="119" spans="1:8" ht="17.25" customHeight="1" x14ac:dyDescent="0.25">
      <c r="A119" s="174">
        <v>0.3</v>
      </c>
      <c r="B119" s="172">
        <v>472</v>
      </c>
      <c r="C119" s="172">
        <v>1</v>
      </c>
      <c r="D119" s="173" t="s">
        <v>10</v>
      </c>
      <c r="E119" s="172">
        <v>36117</v>
      </c>
      <c r="F119" s="173" t="s">
        <v>9</v>
      </c>
      <c r="G119" s="174">
        <v>230.67079124759999</v>
      </c>
      <c r="H119" s="174">
        <v>342696</v>
      </c>
    </row>
    <row r="120" spans="1:8" ht="17.25" customHeight="1" x14ac:dyDescent="0.25">
      <c r="A120" s="174">
        <v>0.2</v>
      </c>
      <c r="B120" s="172">
        <v>295</v>
      </c>
      <c r="C120" s="172">
        <v>1</v>
      </c>
      <c r="D120" s="173" t="s">
        <v>10</v>
      </c>
      <c r="E120" s="172">
        <v>36117</v>
      </c>
      <c r="F120" s="173" t="s">
        <v>9</v>
      </c>
      <c r="G120" s="174">
        <v>153.78052749840001</v>
      </c>
      <c r="H120" s="174">
        <v>228466</v>
      </c>
    </row>
    <row r="121" spans="1:8" ht="17.25" customHeight="1" x14ac:dyDescent="0.25">
      <c r="A121" s="174">
        <v>0.1</v>
      </c>
      <c r="B121" s="172">
        <v>118</v>
      </c>
      <c r="C121" s="172">
        <v>1</v>
      </c>
      <c r="D121" s="173" t="s">
        <v>10</v>
      </c>
      <c r="E121" s="172">
        <v>36117</v>
      </c>
      <c r="F121" s="173" t="s">
        <v>9</v>
      </c>
      <c r="G121" s="174">
        <v>76.890263749200003</v>
      </c>
      <c r="H121" s="174">
        <v>114255</v>
      </c>
    </row>
    <row r="122" spans="1:8" ht="17.25" customHeight="1" x14ac:dyDescent="0.25">
      <c r="A122" s="172">
        <v>0</v>
      </c>
      <c r="B122" s="172">
        <v>0</v>
      </c>
      <c r="C122" s="172">
        <v>1</v>
      </c>
      <c r="D122" s="173" t="s">
        <v>10</v>
      </c>
      <c r="E122" s="172">
        <v>36117</v>
      </c>
      <c r="F122" s="173" t="s">
        <v>9</v>
      </c>
      <c r="G122" s="174">
        <v>0</v>
      </c>
      <c r="H122" s="174">
        <v>0</v>
      </c>
    </row>
    <row r="123" spans="1:8" ht="17.25" customHeight="1" x14ac:dyDescent="0.25">
      <c r="A123" s="172">
        <v>1</v>
      </c>
      <c r="B123" s="172">
        <v>1534</v>
      </c>
      <c r="C123" s="172">
        <v>1</v>
      </c>
      <c r="D123" s="173" t="s">
        <v>12</v>
      </c>
      <c r="E123" s="172">
        <v>36525</v>
      </c>
      <c r="F123" s="173" t="s">
        <v>9</v>
      </c>
      <c r="G123" s="174">
        <v>768.90263749199994</v>
      </c>
      <c r="H123" s="174">
        <v>1059871</v>
      </c>
    </row>
    <row r="124" spans="1:8" ht="17.25" customHeight="1" x14ac:dyDescent="0.25">
      <c r="A124" s="174">
        <v>0.9</v>
      </c>
      <c r="B124" s="172">
        <v>1416</v>
      </c>
      <c r="C124" s="172">
        <v>1</v>
      </c>
      <c r="D124" s="173" t="s">
        <v>12</v>
      </c>
      <c r="E124" s="172">
        <v>36525</v>
      </c>
      <c r="F124" s="173" t="s">
        <v>9</v>
      </c>
      <c r="G124" s="174">
        <v>692.01237374280004</v>
      </c>
      <c r="H124" s="174">
        <v>953855</v>
      </c>
    </row>
    <row r="125" spans="1:8" ht="17.25" customHeight="1" x14ac:dyDescent="0.25">
      <c r="A125" s="174">
        <v>0.8</v>
      </c>
      <c r="B125" s="172">
        <v>1239</v>
      </c>
      <c r="C125" s="172">
        <v>1</v>
      </c>
      <c r="D125" s="173" t="s">
        <v>12</v>
      </c>
      <c r="E125" s="172">
        <v>36525</v>
      </c>
      <c r="F125" s="173" t="s">
        <v>9</v>
      </c>
      <c r="G125" s="174">
        <v>615.12210999360002</v>
      </c>
      <c r="H125" s="174">
        <v>847899</v>
      </c>
    </row>
    <row r="126" spans="1:8" ht="17.25" customHeight="1" x14ac:dyDescent="0.25">
      <c r="A126" s="174">
        <v>0.7</v>
      </c>
      <c r="B126" s="172">
        <v>1062</v>
      </c>
      <c r="C126" s="172">
        <v>1</v>
      </c>
      <c r="D126" s="173" t="s">
        <v>12</v>
      </c>
      <c r="E126" s="172">
        <v>36525</v>
      </c>
      <c r="F126" s="173" t="s">
        <v>9</v>
      </c>
      <c r="G126" s="174">
        <v>538.23184624439989</v>
      </c>
      <c r="H126" s="174">
        <v>741913</v>
      </c>
    </row>
    <row r="127" spans="1:8" ht="17.25" customHeight="1" x14ac:dyDescent="0.25">
      <c r="A127" s="174">
        <v>0.6</v>
      </c>
      <c r="B127" s="172">
        <v>944</v>
      </c>
      <c r="C127" s="172">
        <v>1</v>
      </c>
      <c r="D127" s="173" t="s">
        <v>12</v>
      </c>
      <c r="E127" s="172">
        <v>36525</v>
      </c>
      <c r="F127" s="173" t="s">
        <v>9</v>
      </c>
      <c r="G127" s="174">
        <v>461.34158249519999</v>
      </c>
      <c r="H127" s="174">
        <v>635927</v>
      </c>
    </row>
    <row r="128" spans="1:8" ht="17.25" customHeight="1" x14ac:dyDescent="0.25">
      <c r="A128" s="174">
        <v>0.5</v>
      </c>
      <c r="B128" s="172">
        <v>767</v>
      </c>
      <c r="C128" s="172">
        <v>1</v>
      </c>
      <c r="D128" s="173" t="s">
        <v>12</v>
      </c>
      <c r="E128" s="172">
        <v>36525</v>
      </c>
      <c r="F128" s="173" t="s">
        <v>9</v>
      </c>
      <c r="G128" s="174">
        <v>384.45131874599997</v>
      </c>
      <c r="H128" s="174">
        <v>529940</v>
      </c>
    </row>
    <row r="129" spans="1:8" ht="17.25" customHeight="1" x14ac:dyDescent="0.25">
      <c r="A129" s="174">
        <v>0.4</v>
      </c>
      <c r="B129" s="172">
        <v>590</v>
      </c>
      <c r="C129" s="172">
        <v>1</v>
      </c>
      <c r="D129" s="173" t="s">
        <v>12</v>
      </c>
      <c r="E129" s="172">
        <v>36525</v>
      </c>
      <c r="F129" s="173" t="s">
        <v>9</v>
      </c>
      <c r="G129" s="174">
        <v>307.56105499680001</v>
      </c>
      <c r="H129" s="174">
        <v>423954</v>
      </c>
    </row>
    <row r="130" spans="1:8" ht="17.25" customHeight="1" x14ac:dyDescent="0.25">
      <c r="A130" s="174">
        <v>0.3</v>
      </c>
      <c r="B130" s="172">
        <v>472</v>
      </c>
      <c r="C130" s="172">
        <v>1</v>
      </c>
      <c r="D130" s="173" t="s">
        <v>12</v>
      </c>
      <c r="E130" s="172">
        <v>36525</v>
      </c>
      <c r="F130" s="173" t="s">
        <v>9</v>
      </c>
      <c r="G130" s="174">
        <v>230.67079124759999</v>
      </c>
      <c r="H130" s="174">
        <v>317967</v>
      </c>
    </row>
    <row r="131" spans="1:8" ht="17.25" customHeight="1" x14ac:dyDescent="0.25">
      <c r="A131" s="174">
        <v>0.2</v>
      </c>
      <c r="B131" s="172">
        <v>295</v>
      </c>
      <c r="C131" s="172">
        <v>1</v>
      </c>
      <c r="D131" s="173" t="s">
        <v>12</v>
      </c>
      <c r="E131" s="172">
        <v>36525</v>
      </c>
      <c r="F131" s="173" t="s">
        <v>9</v>
      </c>
      <c r="G131" s="174">
        <v>153.78052749840001</v>
      </c>
      <c r="H131" s="174">
        <v>211980</v>
      </c>
    </row>
    <row r="132" spans="1:8" ht="17.25" customHeight="1" x14ac:dyDescent="0.25">
      <c r="A132" s="174">
        <v>0.1</v>
      </c>
      <c r="B132" s="172">
        <v>118</v>
      </c>
      <c r="C132" s="172">
        <v>1</v>
      </c>
      <c r="D132" s="173" t="s">
        <v>12</v>
      </c>
      <c r="E132" s="172">
        <v>36525</v>
      </c>
      <c r="F132" s="173" t="s">
        <v>9</v>
      </c>
      <c r="G132" s="174">
        <v>76.890263749200003</v>
      </c>
      <c r="H132" s="174">
        <v>123031</v>
      </c>
    </row>
    <row r="133" spans="1:8" ht="17.25" customHeight="1" x14ac:dyDescent="0.25">
      <c r="A133" s="172">
        <v>0</v>
      </c>
      <c r="B133" s="172">
        <v>0</v>
      </c>
      <c r="C133" s="172">
        <v>1</v>
      </c>
      <c r="D133" s="173" t="s">
        <v>12</v>
      </c>
      <c r="E133" s="172">
        <v>36525</v>
      </c>
      <c r="F133" s="173" t="s">
        <v>9</v>
      </c>
      <c r="G133" s="174">
        <v>0</v>
      </c>
      <c r="H133" s="174">
        <v>0</v>
      </c>
    </row>
    <row r="134" spans="1:8" ht="17.25" customHeight="1" x14ac:dyDescent="0.25">
      <c r="A134" s="172">
        <v>1</v>
      </c>
      <c r="B134" s="172">
        <v>1534</v>
      </c>
      <c r="C134" s="172">
        <v>1</v>
      </c>
      <c r="D134" s="173" t="s">
        <v>8</v>
      </c>
      <c r="E134" s="172">
        <v>35801</v>
      </c>
      <c r="F134" s="173" t="s">
        <v>11</v>
      </c>
      <c r="G134" s="174">
        <v>768.90263749199994</v>
      </c>
      <c r="H134" s="174">
        <v>1220963</v>
      </c>
    </row>
    <row r="135" spans="1:8" ht="17.25" customHeight="1" x14ac:dyDescent="0.25">
      <c r="A135" s="174">
        <v>0.9</v>
      </c>
      <c r="B135" s="172">
        <v>1416</v>
      </c>
      <c r="C135" s="172">
        <v>1</v>
      </c>
      <c r="D135" s="173" t="s">
        <v>8</v>
      </c>
      <c r="E135" s="172">
        <v>35801</v>
      </c>
      <c r="F135" s="173" t="s">
        <v>11</v>
      </c>
      <c r="G135" s="174">
        <v>692.01237374280004</v>
      </c>
      <c r="H135" s="174">
        <v>1098869</v>
      </c>
    </row>
    <row r="136" spans="1:8" ht="17.25" customHeight="1" x14ac:dyDescent="0.25">
      <c r="A136" s="174">
        <v>0.8</v>
      </c>
      <c r="B136" s="172">
        <v>1239</v>
      </c>
      <c r="C136" s="172">
        <v>1</v>
      </c>
      <c r="D136" s="173" t="s">
        <v>8</v>
      </c>
      <c r="E136" s="172">
        <v>35801</v>
      </c>
      <c r="F136" s="173" t="s">
        <v>11</v>
      </c>
      <c r="G136" s="174">
        <v>615.12210999360002</v>
      </c>
      <c r="H136" s="174">
        <v>976777</v>
      </c>
    </row>
    <row r="137" spans="1:8" ht="17.25" customHeight="1" x14ac:dyDescent="0.25">
      <c r="A137" s="174">
        <v>0.7</v>
      </c>
      <c r="B137" s="172">
        <v>1062</v>
      </c>
      <c r="C137" s="172">
        <v>1</v>
      </c>
      <c r="D137" s="173" t="s">
        <v>8</v>
      </c>
      <c r="E137" s="172">
        <v>35801</v>
      </c>
      <c r="F137" s="173" t="s">
        <v>11</v>
      </c>
      <c r="G137" s="174">
        <v>538.23184624439989</v>
      </c>
      <c r="H137" s="174">
        <v>854685</v>
      </c>
    </row>
    <row r="138" spans="1:8" ht="17.25" customHeight="1" x14ac:dyDescent="0.25">
      <c r="A138" s="174">
        <v>0.6</v>
      </c>
      <c r="B138" s="172">
        <v>944</v>
      </c>
      <c r="C138" s="172">
        <v>1</v>
      </c>
      <c r="D138" s="173" t="s">
        <v>8</v>
      </c>
      <c r="E138" s="172">
        <v>35801</v>
      </c>
      <c r="F138" s="173" t="s">
        <v>11</v>
      </c>
      <c r="G138" s="174">
        <v>461.34158249519999</v>
      </c>
      <c r="H138" s="174">
        <v>732592</v>
      </c>
    </row>
    <row r="139" spans="1:8" ht="17.25" customHeight="1" x14ac:dyDescent="0.25">
      <c r="A139" s="174">
        <v>0.5</v>
      </c>
      <c r="B139" s="172">
        <v>767</v>
      </c>
      <c r="C139" s="172">
        <v>1</v>
      </c>
      <c r="D139" s="173" t="s">
        <v>8</v>
      </c>
      <c r="E139" s="172">
        <v>35801</v>
      </c>
      <c r="F139" s="173" t="s">
        <v>11</v>
      </c>
      <c r="G139" s="174">
        <v>384.45131874599997</v>
      </c>
      <c r="H139" s="174">
        <v>610499</v>
      </c>
    </row>
    <row r="140" spans="1:8" ht="17.25" customHeight="1" x14ac:dyDescent="0.25">
      <c r="A140" s="174">
        <v>0.4</v>
      </c>
      <c r="B140" s="172">
        <v>590</v>
      </c>
      <c r="C140" s="172">
        <v>1</v>
      </c>
      <c r="D140" s="173" t="s">
        <v>8</v>
      </c>
      <c r="E140" s="172">
        <v>35801</v>
      </c>
      <c r="F140" s="173" t="s">
        <v>11</v>
      </c>
      <c r="G140" s="174">
        <v>307.56105499680001</v>
      </c>
      <c r="H140" s="174">
        <v>488404</v>
      </c>
    </row>
    <row r="141" spans="1:8" ht="17.25" customHeight="1" x14ac:dyDescent="0.25">
      <c r="A141" s="174">
        <v>0.3</v>
      </c>
      <c r="B141" s="172">
        <v>472</v>
      </c>
      <c r="C141" s="172">
        <v>1</v>
      </c>
      <c r="D141" s="173" t="s">
        <v>8</v>
      </c>
      <c r="E141" s="172">
        <v>35801</v>
      </c>
      <c r="F141" s="173" t="s">
        <v>11</v>
      </c>
      <c r="G141" s="174">
        <v>230.67079124759999</v>
      </c>
      <c r="H141" s="174">
        <v>366310</v>
      </c>
    </row>
    <row r="142" spans="1:8" ht="17.25" customHeight="1" x14ac:dyDescent="0.25">
      <c r="A142" s="174">
        <v>0.2</v>
      </c>
      <c r="B142" s="172">
        <v>295</v>
      </c>
      <c r="C142" s="172">
        <v>1</v>
      </c>
      <c r="D142" s="173" t="s">
        <v>8</v>
      </c>
      <c r="E142" s="172">
        <v>35801</v>
      </c>
      <c r="F142" s="173" t="s">
        <v>11</v>
      </c>
      <c r="G142" s="174">
        <v>153.78052749840001</v>
      </c>
      <c r="H142" s="174">
        <v>244213</v>
      </c>
    </row>
    <row r="143" spans="1:8" ht="17.25" customHeight="1" x14ac:dyDescent="0.25">
      <c r="A143" s="174">
        <v>0.1</v>
      </c>
      <c r="B143" s="172">
        <v>118</v>
      </c>
      <c r="C143" s="172">
        <v>1</v>
      </c>
      <c r="D143" s="173" t="s">
        <v>8</v>
      </c>
      <c r="E143" s="172">
        <v>35801</v>
      </c>
      <c r="F143" s="173" t="s">
        <v>11</v>
      </c>
      <c r="G143" s="174">
        <v>76.890263749200003</v>
      </c>
      <c r="H143" s="174">
        <v>122113</v>
      </c>
    </row>
    <row r="144" spans="1:8" ht="17.25" customHeight="1" x14ac:dyDescent="0.25">
      <c r="A144" s="172">
        <v>0</v>
      </c>
      <c r="B144" s="172">
        <v>0</v>
      </c>
      <c r="C144" s="172">
        <v>1</v>
      </c>
      <c r="D144" s="173" t="s">
        <v>8</v>
      </c>
      <c r="E144" s="172">
        <v>35801</v>
      </c>
      <c r="F144" s="173" t="s">
        <v>11</v>
      </c>
      <c r="G144" s="174">
        <v>0</v>
      </c>
      <c r="H144" s="174">
        <v>0</v>
      </c>
    </row>
    <row r="145" spans="1:8" ht="17.25" customHeight="1" x14ac:dyDescent="0.25">
      <c r="A145" s="172">
        <v>1</v>
      </c>
      <c r="B145" s="172">
        <v>1534</v>
      </c>
      <c r="C145" s="172">
        <v>1</v>
      </c>
      <c r="D145" s="173" t="s">
        <v>13</v>
      </c>
      <c r="E145" s="172">
        <v>35223</v>
      </c>
      <c r="F145" s="173" t="s">
        <v>11</v>
      </c>
      <c r="G145" s="174">
        <v>768.90263749199994</v>
      </c>
      <c r="H145" s="174">
        <v>1213721</v>
      </c>
    </row>
    <row r="146" spans="1:8" ht="17.25" customHeight="1" x14ac:dyDescent="0.25">
      <c r="A146" s="174">
        <v>0.9</v>
      </c>
      <c r="B146" s="172">
        <v>1416</v>
      </c>
      <c r="C146" s="172">
        <v>1</v>
      </c>
      <c r="D146" s="173" t="s">
        <v>13</v>
      </c>
      <c r="E146" s="172">
        <v>35223</v>
      </c>
      <c r="F146" s="173" t="s">
        <v>11</v>
      </c>
      <c r="G146" s="174">
        <v>692.01237374280004</v>
      </c>
      <c r="H146" s="174">
        <v>1092352</v>
      </c>
    </row>
    <row r="147" spans="1:8" ht="17.25" customHeight="1" x14ac:dyDescent="0.25">
      <c r="A147" s="174">
        <v>0.8</v>
      </c>
      <c r="B147" s="172">
        <v>1239</v>
      </c>
      <c r="C147" s="172">
        <v>1</v>
      </c>
      <c r="D147" s="173" t="s">
        <v>13</v>
      </c>
      <c r="E147" s="172">
        <v>35223</v>
      </c>
      <c r="F147" s="173" t="s">
        <v>11</v>
      </c>
      <c r="G147" s="174">
        <v>615.12210999360002</v>
      </c>
      <c r="H147" s="174">
        <v>970983</v>
      </c>
    </row>
    <row r="148" spans="1:8" ht="17.25" customHeight="1" x14ac:dyDescent="0.25">
      <c r="A148" s="174">
        <v>0.7</v>
      </c>
      <c r="B148" s="172">
        <v>1062</v>
      </c>
      <c r="C148" s="172">
        <v>1</v>
      </c>
      <c r="D148" s="173" t="s">
        <v>13</v>
      </c>
      <c r="E148" s="172">
        <v>35223</v>
      </c>
      <c r="F148" s="173" t="s">
        <v>11</v>
      </c>
      <c r="G148" s="174">
        <v>538.23184624439989</v>
      </c>
      <c r="H148" s="174">
        <v>849615</v>
      </c>
    </row>
    <row r="149" spans="1:8" ht="17.25" customHeight="1" x14ac:dyDescent="0.25">
      <c r="A149" s="174">
        <v>0.6</v>
      </c>
      <c r="B149" s="172">
        <v>944</v>
      </c>
      <c r="C149" s="172">
        <v>1</v>
      </c>
      <c r="D149" s="173" t="s">
        <v>13</v>
      </c>
      <c r="E149" s="172">
        <v>35223</v>
      </c>
      <c r="F149" s="173" t="s">
        <v>11</v>
      </c>
      <c r="G149" s="174">
        <v>461.34158249519999</v>
      </c>
      <c r="H149" s="174">
        <v>728245</v>
      </c>
    </row>
    <row r="150" spans="1:8" ht="17.25" customHeight="1" x14ac:dyDescent="0.25">
      <c r="A150" s="174">
        <v>0.5</v>
      </c>
      <c r="B150" s="172">
        <v>767</v>
      </c>
      <c r="C150" s="172">
        <v>1</v>
      </c>
      <c r="D150" s="173" t="s">
        <v>13</v>
      </c>
      <c r="E150" s="172">
        <v>35223</v>
      </c>
      <c r="F150" s="173" t="s">
        <v>11</v>
      </c>
      <c r="G150" s="174">
        <v>384.45131874599997</v>
      </c>
      <c r="H150" s="174">
        <v>606876</v>
      </c>
    </row>
    <row r="151" spans="1:8" ht="17.25" customHeight="1" x14ac:dyDescent="0.25">
      <c r="A151" s="174">
        <v>0.4</v>
      </c>
      <c r="B151" s="172">
        <v>590</v>
      </c>
      <c r="C151" s="172">
        <v>1</v>
      </c>
      <c r="D151" s="173" t="s">
        <v>13</v>
      </c>
      <c r="E151" s="172">
        <v>35223</v>
      </c>
      <c r="F151" s="173" t="s">
        <v>11</v>
      </c>
      <c r="G151" s="174">
        <v>307.56105499680001</v>
      </c>
      <c r="H151" s="174">
        <v>485505</v>
      </c>
    </row>
    <row r="152" spans="1:8" ht="17.25" customHeight="1" x14ac:dyDescent="0.25">
      <c r="A152" s="174">
        <v>0.3</v>
      </c>
      <c r="B152" s="172">
        <v>472</v>
      </c>
      <c r="C152" s="172">
        <v>1</v>
      </c>
      <c r="D152" s="173" t="s">
        <v>13</v>
      </c>
      <c r="E152" s="172">
        <v>35223</v>
      </c>
      <c r="F152" s="173" t="s">
        <v>11</v>
      </c>
      <c r="G152" s="174">
        <v>230.67079124759999</v>
      </c>
      <c r="H152" s="174">
        <v>364135</v>
      </c>
    </row>
    <row r="153" spans="1:8" ht="17.25" customHeight="1" x14ac:dyDescent="0.25">
      <c r="A153" s="174">
        <v>0.2</v>
      </c>
      <c r="B153" s="172">
        <v>295</v>
      </c>
      <c r="C153" s="172">
        <v>1</v>
      </c>
      <c r="D153" s="173" t="s">
        <v>13</v>
      </c>
      <c r="E153" s="172">
        <v>35223</v>
      </c>
      <c r="F153" s="173" t="s">
        <v>11</v>
      </c>
      <c r="G153" s="174">
        <v>153.78052749840001</v>
      </c>
      <c r="H153" s="174">
        <v>242763</v>
      </c>
    </row>
    <row r="154" spans="1:8" ht="17.25" customHeight="1" x14ac:dyDescent="0.25">
      <c r="A154" s="174">
        <v>0.1</v>
      </c>
      <c r="B154" s="172">
        <v>118</v>
      </c>
      <c r="C154" s="172">
        <v>1</v>
      </c>
      <c r="D154" s="173" t="s">
        <v>13</v>
      </c>
      <c r="E154" s="172">
        <v>35223</v>
      </c>
      <c r="F154" s="173" t="s">
        <v>11</v>
      </c>
      <c r="G154" s="174">
        <v>76.890263749200003</v>
      </c>
      <c r="H154" s="174">
        <v>121387</v>
      </c>
    </row>
    <row r="155" spans="1:8" ht="17.25" customHeight="1" x14ac:dyDescent="0.25">
      <c r="A155" s="172">
        <v>0</v>
      </c>
      <c r="B155" s="172">
        <v>0</v>
      </c>
      <c r="C155" s="172">
        <v>1</v>
      </c>
      <c r="D155" s="173" t="s">
        <v>13</v>
      </c>
      <c r="E155" s="172">
        <v>35223</v>
      </c>
      <c r="F155" s="173" t="s">
        <v>11</v>
      </c>
      <c r="G155" s="174">
        <v>0</v>
      </c>
      <c r="H155" s="174">
        <v>0</v>
      </c>
    </row>
    <row r="156" spans="1:8" ht="17.25" customHeight="1" x14ac:dyDescent="0.25">
      <c r="A156" s="172">
        <v>1</v>
      </c>
      <c r="B156" s="172">
        <v>1534</v>
      </c>
      <c r="C156" s="172">
        <v>1</v>
      </c>
      <c r="D156" s="173" t="s">
        <v>10</v>
      </c>
      <c r="E156" s="172">
        <v>36117</v>
      </c>
      <c r="F156" s="173" t="s">
        <v>11</v>
      </c>
      <c r="G156" s="174">
        <v>768.90263749199994</v>
      </c>
      <c r="H156" s="174">
        <v>1321293</v>
      </c>
    </row>
    <row r="157" spans="1:8" ht="17.25" customHeight="1" x14ac:dyDescent="0.25">
      <c r="A157" s="174">
        <v>0.9</v>
      </c>
      <c r="B157" s="172">
        <v>1416</v>
      </c>
      <c r="C157" s="172">
        <v>1</v>
      </c>
      <c r="D157" s="173" t="s">
        <v>10</v>
      </c>
      <c r="E157" s="172">
        <v>36117</v>
      </c>
      <c r="F157" s="173" t="s">
        <v>11</v>
      </c>
      <c r="G157" s="174">
        <v>692.01237374280004</v>
      </c>
      <c r="H157" s="174">
        <v>1189167</v>
      </c>
    </row>
    <row r="158" spans="1:8" ht="17.25" customHeight="1" x14ac:dyDescent="0.25">
      <c r="A158" s="174">
        <v>0.8</v>
      </c>
      <c r="B158" s="172">
        <v>1239</v>
      </c>
      <c r="C158" s="172">
        <v>1</v>
      </c>
      <c r="D158" s="173" t="s">
        <v>10</v>
      </c>
      <c r="E158" s="172">
        <v>36117</v>
      </c>
      <c r="F158" s="173" t="s">
        <v>11</v>
      </c>
      <c r="G158" s="174">
        <v>615.12210999360002</v>
      </c>
      <c r="H158" s="174">
        <v>1057042</v>
      </c>
    </row>
    <row r="159" spans="1:8" ht="17.25" customHeight="1" x14ac:dyDescent="0.25">
      <c r="A159" s="174">
        <v>0.7</v>
      </c>
      <c r="B159" s="172">
        <v>1062</v>
      </c>
      <c r="C159" s="172">
        <v>1</v>
      </c>
      <c r="D159" s="173" t="s">
        <v>10</v>
      </c>
      <c r="E159" s="172">
        <v>36117</v>
      </c>
      <c r="F159" s="173" t="s">
        <v>11</v>
      </c>
      <c r="G159" s="174">
        <v>538.23184624439989</v>
      </c>
      <c r="H159" s="174">
        <v>924917</v>
      </c>
    </row>
    <row r="160" spans="1:8" ht="17.25" customHeight="1" x14ac:dyDescent="0.25">
      <c r="A160" s="174">
        <v>0.6</v>
      </c>
      <c r="B160" s="172">
        <v>944</v>
      </c>
      <c r="C160" s="172">
        <v>1</v>
      </c>
      <c r="D160" s="173" t="s">
        <v>10</v>
      </c>
      <c r="E160" s="172">
        <v>36117</v>
      </c>
      <c r="F160" s="173" t="s">
        <v>11</v>
      </c>
      <c r="G160" s="174">
        <v>461.34158249519999</v>
      </c>
      <c r="H160" s="174">
        <v>792791</v>
      </c>
    </row>
    <row r="161" spans="1:8" ht="17.25" customHeight="1" x14ac:dyDescent="0.25">
      <c r="A161" s="174">
        <v>0.5</v>
      </c>
      <c r="B161" s="172">
        <v>767</v>
      </c>
      <c r="C161" s="172">
        <v>1</v>
      </c>
      <c r="D161" s="173" t="s">
        <v>10</v>
      </c>
      <c r="E161" s="172">
        <v>36117</v>
      </c>
      <c r="F161" s="173" t="s">
        <v>11</v>
      </c>
      <c r="G161" s="174">
        <v>384.45131874599997</v>
      </c>
      <c r="H161" s="174">
        <v>660666</v>
      </c>
    </row>
    <row r="162" spans="1:8" ht="17.25" customHeight="1" x14ac:dyDescent="0.25">
      <c r="A162" s="174">
        <v>0.4</v>
      </c>
      <c r="B162" s="172">
        <v>590</v>
      </c>
      <c r="C162" s="172">
        <v>1</v>
      </c>
      <c r="D162" s="173" t="s">
        <v>10</v>
      </c>
      <c r="E162" s="172">
        <v>36117</v>
      </c>
      <c r="F162" s="173" t="s">
        <v>11</v>
      </c>
      <c r="G162" s="174">
        <v>307.56105499680001</v>
      </c>
      <c r="H162" s="174">
        <v>528537</v>
      </c>
    </row>
    <row r="163" spans="1:8" ht="17.25" customHeight="1" x14ac:dyDescent="0.25">
      <c r="A163" s="174">
        <v>0.3</v>
      </c>
      <c r="B163" s="172">
        <v>472</v>
      </c>
      <c r="C163" s="172">
        <v>1</v>
      </c>
      <c r="D163" s="173" t="s">
        <v>10</v>
      </c>
      <c r="E163" s="172">
        <v>36117</v>
      </c>
      <c r="F163" s="173" t="s">
        <v>11</v>
      </c>
      <c r="G163" s="174">
        <v>230.67079124759999</v>
      </c>
      <c r="H163" s="174">
        <v>396411</v>
      </c>
    </row>
    <row r="164" spans="1:8" ht="17.25" customHeight="1" x14ac:dyDescent="0.25">
      <c r="A164" s="174">
        <v>0.2</v>
      </c>
      <c r="B164" s="172">
        <v>295</v>
      </c>
      <c r="C164" s="172">
        <v>1</v>
      </c>
      <c r="D164" s="173" t="s">
        <v>10</v>
      </c>
      <c r="E164" s="172">
        <v>36117</v>
      </c>
      <c r="F164" s="173" t="s">
        <v>11</v>
      </c>
      <c r="G164" s="174">
        <v>153.78052749840001</v>
      </c>
      <c r="H164" s="174">
        <v>264281</v>
      </c>
    </row>
    <row r="165" spans="1:8" ht="17.25" customHeight="1" x14ac:dyDescent="0.25">
      <c r="A165" s="174">
        <v>0.1</v>
      </c>
      <c r="B165" s="172">
        <v>118</v>
      </c>
      <c r="C165" s="172">
        <v>1</v>
      </c>
      <c r="D165" s="173" t="s">
        <v>10</v>
      </c>
      <c r="E165" s="172">
        <v>36117</v>
      </c>
      <c r="F165" s="173" t="s">
        <v>11</v>
      </c>
      <c r="G165" s="174">
        <v>76.890263749200003</v>
      </c>
      <c r="H165" s="174">
        <v>132148</v>
      </c>
    </row>
    <row r="166" spans="1:8" ht="17.25" customHeight="1" x14ac:dyDescent="0.25">
      <c r="A166" s="172">
        <v>0</v>
      </c>
      <c r="B166" s="172">
        <v>0</v>
      </c>
      <c r="C166" s="172">
        <v>1</v>
      </c>
      <c r="D166" s="173" t="s">
        <v>10</v>
      </c>
      <c r="E166" s="172">
        <v>36117</v>
      </c>
      <c r="F166" s="173" t="s">
        <v>11</v>
      </c>
      <c r="G166" s="174">
        <v>0</v>
      </c>
      <c r="H166" s="174">
        <v>0</v>
      </c>
    </row>
    <row r="167" spans="1:8" ht="17.25" customHeight="1" x14ac:dyDescent="0.25">
      <c r="A167" s="172">
        <v>1</v>
      </c>
      <c r="B167" s="172">
        <v>1534</v>
      </c>
      <c r="C167" s="172">
        <v>1</v>
      </c>
      <c r="D167" s="173" t="s">
        <v>12</v>
      </c>
      <c r="E167" s="172">
        <v>36525</v>
      </c>
      <c r="F167" s="173" t="s">
        <v>11</v>
      </c>
      <c r="G167" s="174">
        <v>768.90263749199994</v>
      </c>
      <c r="H167" s="174">
        <v>1230166</v>
      </c>
    </row>
    <row r="168" spans="1:8" ht="17.25" customHeight="1" x14ac:dyDescent="0.25">
      <c r="A168" s="174">
        <v>0.9</v>
      </c>
      <c r="B168" s="172">
        <v>1416</v>
      </c>
      <c r="C168" s="172">
        <v>1</v>
      </c>
      <c r="D168" s="173" t="s">
        <v>12</v>
      </c>
      <c r="E168" s="172">
        <v>36525</v>
      </c>
      <c r="F168" s="173" t="s">
        <v>11</v>
      </c>
      <c r="G168" s="174">
        <v>692.01237374280004</v>
      </c>
      <c r="H168" s="174">
        <v>1107152</v>
      </c>
    </row>
    <row r="169" spans="1:8" ht="17.25" customHeight="1" x14ac:dyDescent="0.25">
      <c r="A169" s="174">
        <v>0.8</v>
      </c>
      <c r="B169" s="172">
        <v>1239</v>
      </c>
      <c r="C169" s="172">
        <v>1</v>
      </c>
      <c r="D169" s="173" t="s">
        <v>12</v>
      </c>
      <c r="E169" s="172">
        <v>36525</v>
      </c>
      <c r="F169" s="173" t="s">
        <v>11</v>
      </c>
      <c r="G169" s="174">
        <v>615.12210999360002</v>
      </c>
      <c r="H169" s="174">
        <v>984139</v>
      </c>
    </row>
    <row r="170" spans="1:8" ht="17.25" customHeight="1" x14ac:dyDescent="0.25">
      <c r="A170" s="174">
        <v>0.7</v>
      </c>
      <c r="B170" s="172">
        <v>1062</v>
      </c>
      <c r="C170" s="172">
        <v>1</v>
      </c>
      <c r="D170" s="173" t="s">
        <v>12</v>
      </c>
      <c r="E170" s="172">
        <v>36525</v>
      </c>
      <c r="F170" s="173" t="s">
        <v>11</v>
      </c>
      <c r="G170" s="174">
        <v>538.23184624439989</v>
      </c>
      <c r="H170" s="174">
        <v>861125</v>
      </c>
    </row>
    <row r="171" spans="1:8" ht="17.25" customHeight="1" x14ac:dyDescent="0.25">
      <c r="A171" s="174">
        <v>0.6</v>
      </c>
      <c r="B171" s="172">
        <v>944</v>
      </c>
      <c r="C171" s="172">
        <v>1</v>
      </c>
      <c r="D171" s="173" t="s">
        <v>12</v>
      </c>
      <c r="E171" s="172">
        <v>36525</v>
      </c>
      <c r="F171" s="173" t="s">
        <v>11</v>
      </c>
      <c r="G171" s="174">
        <v>461.34158249519999</v>
      </c>
      <c r="H171" s="174">
        <v>738111</v>
      </c>
    </row>
    <row r="172" spans="1:8" ht="17.25" customHeight="1" x14ac:dyDescent="0.25">
      <c r="A172" s="174">
        <v>0.5</v>
      </c>
      <c r="B172" s="172">
        <v>767</v>
      </c>
      <c r="C172" s="172">
        <v>1</v>
      </c>
      <c r="D172" s="173" t="s">
        <v>12</v>
      </c>
      <c r="E172" s="172">
        <v>36525</v>
      </c>
      <c r="F172" s="173" t="s">
        <v>11</v>
      </c>
      <c r="G172" s="174">
        <v>384.45131874599997</v>
      </c>
      <c r="H172" s="174">
        <v>615098</v>
      </c>
    </row>
    <row r="173" spans="1:8" ht="17.25" customHeight="1" x14ac:dyDescent="0.25">
      <c r="A173" s="174">
        <v>0.4</v>
      </c>
      <c r="B173" s="172">
        <v>590</v>
      </c>
      <c r="C173" s="172">
        <v>1</v>
      </c>
      <c r="D173" s="173" t="s">
        <v>12</v>
      </c>
      <c r="E173" s="172">
        <v>36525</v>
      </c>
      <c r="F173" s="173" t="s">
        <v>11</v>
      </c>
      <c r="G173" s="174">
        <v>307.56105499680001</v>
      </c>
      <c r="H173" s="174">
        <v>492082</v>
      </c>
    </row>
    <row r="174" spans="1:8" ht="17.25" customHeight="1" x14ac:dyDescent="0.25">
      <c r="A174" s="174">
        <v>0.3</v>
      </c>
      <c r="B174" s="172">
        <v>472</v>
      </c>
      <c r="C174" s="172">
        <v>1</v>
      </c>
      <c r="D174" s="173" t="s">
        <v>12</v>
      </c>
      <c r="E174" s="172">
        <v>36525</v>
      </c>
      <c r="F174" s="173" t="s">
        <v>11</v>
      </c>
      <c r="G174" s="174">
        <v>230.67079124759999</v>
      </c>
      <c r="H174" s="174">
        <v>369068</v>
      </c>
    </row>
    <row r="175" spans="1:8" ht="17.25" customHeight="1" x14ac:dyDescent="0.25">
      <c r="A175" s="174">
        <v>0.2</v>
      </c>
      <c r="B175" s="172">
        <v>295</v>
      </c>
      <c r="C175" s="172">
        <v>1</v>
      </c>
      <c r="D175" s="173" t="s">
        <v>12</v>
      </c>
      <c r="E175" s="172">
        <v>36525</v>
      </c>
      <c r="F175" s="173" t="s">
        <v>11</v>
      </c>
      <c r="G175" s="174">
        <v>153.78052749840001</v>
      </c>
      <c r="H175" s="174">
        <v>246051</v>
      </c>
    </row>
    <row r="176" spans="1:8" ht="17.25" customHeight="1" x14ac:dyDescent="0.25">
      <c r="A176" s="174">
        <v>0.1</v>
      </c>
      <c r="B176" s="172">
        <v>118</v>
      </c>
      <c r="C176" s="172">
        <v>1</v>
      </c>
      <c r="D176" s="173" t="s">
        <v>12</v>
      </c>
      <c r="E176" s="172">
        <v>36525</v>
      </c>
      <c r="F176" s="173" t="s">
        <v>11</v>
      </c>
      <c r="G176" s="174">
        <v>76.890263749200003</v>
      </c>
      <c r="H176" s="174">
        <v>106008</v>
      </c>
    </row>
    <row r="177" spans="1:8" ht="17.25" customHeight="1" x14ac:dyDescent="0.25">
      <c r="A177" s="172">
        <v>0</v>
      </c>
      <c r="B177" s="172">
        <v>0</v>
      </c>
      <c r="C177" s="172">
        <v>1</v>
      </c>
      <c r="D177" s="173" t="s">
        <v>12</v>
      </c>
      <c r="E177" s="172">
        <v>36525</v>
      </c>
      <c r="F177" s="173" t="s">
        <v>11</v>
      </c>
      <c r="G177" s="174">
        <v>0</v>
      </c>
      <c r="H177" s="17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2"/>
  <sheetViews>
    <sheetView workbookViewId="0"/>
  </sheetViews>
  <sheetFormatPr baseColWidth="10" defaultColWidth="8.83203125" defaultRowHeight="15" x14ac:dyDescent="0.2"/>
  <cols>
    <col min="1" max="1" width="22.6640625" style="6" bestFit="1" customWidth="1"/>
  </cols>
  <sheetData>
    <row r="1" spans="1:1" ht="17.25" customHeight="1" x14ac:dyDescent="0.2">
      <c r="A1" s="9" t="s">
        <v>289</v>
      </c>
    </row>
    <row r="2" spans="1:1" ht="17.25" customHeight="1" x14ac:dyDescent="0.2">
      <c r="A2" s="9">
        <v>0.01</v>
      </c>
    </row>
    <row r="3" spans="1:1" ht="17.25" customHeight="1" x14ac:dyDescent="0.2">
      <c r="A3" s="9">
        <v>1.4999999999999999E-2</v>
      </c>
    </row>
    <row r="4" spans="1:1" ht="17.25" customHeight="1" x14ac:dyDescent="0.2">
      <c r="A4" s="9">
        <v>0.02</v>
      </c>
    </row>
    <row r="5" spans="1:1" ht="17.25" customHeight="1" x14ac:dyDescent="0.2">
      <c r="A5" s="9">
        <v>2.5000000000000001E-2</v>
      </c>
    </row>
    <row r="6" spans="1:1" ht="17.25" customHeight="1" x14ac:dyDescent="0.2">
      <c r="A6" s="9">
        <v>0.03</v>
      </c>
    </row>
    <row r="7" spans="1:1" ht="17.25" customHeight="1" x14ac:dyDescent="0.2">
      <c r="A7" s="9">
        <v>3.5000000000000003E-2</v>
      </c>
    </row>
    <row r="8" spans="1:1" ht="17.25" customHeight="1" x14ac:dyDescent="0.2">
      <c r="A8" s="9">
        <v>0.04</v>
      </c>
    </row>
    <row r="9" spans="1:1" ht="17.25" customHeight="1" x14ac:dyDescent="0.2">
      <c r="A9" s="9">
        <v>4.4999999999999998E-2</v>
      </c>
    </row>
    <row r="10" spans="1:1" ht="17.25" customHeight="1" x14ac:dyDescent="0.2">
      <c r="A10" s="9">
        <v>0.05</v>
      </c>
    </row>
    <row r="11" spans="1:1" ht="17.25" customHeight="1" x14ac:dyDescent="0.2">
      <c r="A11" s="9">
        <v>5.5E-2</v>
      </c>
    </row>
    <row r="12" spans="1:1" ht="17.25" customHeight="1" x14ac:dyDescent="0.2">
      <c r="A12" s="9">
        <v>0.06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G119"/>
  <sheetViews>
    <sheetView tabSelected="1" topLeftCell="H1" workbookViewId="0">
      <selection activeCell="O32" sqref="O32"/>
    </sheetView>
  </sheetViews>
  <sheetFormatPr baseColWidth="10" defaultColWidth="8.83203125" defaultRowHeight="15" x14ac:dyDescent="0.2"/>
  <cols>
    <col min="1" max="1" width="26.6640625" bestFit="1" customWidth="1"/>
    <col min="2" max="2" width="36.33203125" bestFit="1" customWidth="1"/>
    <col min="3" max="3" width="8" bestFit="1" customWidth="1"/>
    <col min="4" max="4" width="9.1640625" style="13" bestFit="1" customWidth="1"/>
    <col min="5" max="5" width="12.1640625" style="65" bestFit="1" customWidth="1"/>
    <col min="6" max="6" width="10.6640625" style="65" bestFit="1" customWidth="1"/>
    <col min="7" max="7" width="10.5" bestFit="1" customWidth="1"/>
    <col min="8" max="8" width="12.5" bestFit="1" customWidth="1"/>
    <col min="9" max="9" width="14.83203125" style="41" bestFit="1" customWidth="1"/>
    <col min="10" max="10" width="8.1640625" style="4" bestFit="1" customWidth="1"/>
    <col min="11" max="17" width="9.1640625" style="4" bestFit="1" customWidth="1"/>
    <col min="18" max="18" width="10.6640625" style="65" bestFit="1" customWidth="1"/>
    <col min="19" max="25" width="11.1640625" style="65" bestFit="1" customWidth="1"/>
    <col min="26" max="26" width="11.6640625" style="65" bestFit="1" customWidth="1"/>
    <col min="27" max="27" width="10.6640625" style="65" bestFit="1" customWidth="1"/>
    <col min="28" max="33" width="11.1640625" style="65" bestFit="1" customWidth="1"/>
  </cols>
  <sheetData>
    <row r="1" spans="1:33" ht="17.25" customHeight="1" x14ac:dyDescent="0.2">
      <c r="I1" s="280"/>
      <c r="J1" s="281"/>
      <c r="K1" s="281"/>
      <c r="L1" s="281"/>
      <c r="M1" s="281"/>
      <c r="N1" s="281"/>
      <c r="O1" s="281"/>
      <c r="P1" s="281"/>
      <c r="Q1" s="281"/>
      <c r="R1" s="282"/>
      <c r="S1" s="283" t="s">
        <v>84</v>
      </c>
      <c r="T1" s="283"/>
      <c r="U1" s="283"/>
      <c r="V1" s="283"/>
      <c r="W1" s="283"/>
      <c r="X1" s="283"/>
      <c r="Y1" s="283"/>
      <c r="Z1" s="282"/>
      <c r="AA1" s="283" t="s">
        <v>85</v>
      </c>
      <c r="AB1" s="283"/>
      <c r="AC1" s="283"/>
      <c r="AD1" s="283"/>
      <c r="AE1" s="283"/>
      <c r="AF1" s="283"/>
      <c r="AG1" s="283"/>
    </row>
    <row r="2" spans="1:33" ht="17.25" customHeight="1" x14ac:dyDescent="0.2">
      <c r="A2" s="200" t="s">
        <v>82</v>
      </c>
      <c r="B2" s="201"/>
      <c r="C2" s="201"/>
      <c r="D2" s="202"/>
      <c r="E2" s="203"/>
      <c r="F2" s="203" t="s">
        <v>83</v>
      </c>
      <c r="G2" s="204"/>
      <c r="I2" s="280" t="s">
        <v>86</v>
      </c>
      <c r="J2" s="281" t="s">
        <v>87</v>
      </c>
      <c r="K2" s="284" t="s">
        <v>94</v>
      </c>
      <c r="L2" s="281" t="s">
        <v>253</v>
      </c>
      <c r="M2" s="281" t="s">
        <v>254</v>
      </c>
      <c r="N2" s="281" t="s">
        <v>255</v>
      </c>
      <c r="O2" s="281" t="s">
        <v>256</v>
      </c>
      <c r="P2" s="281" t="s">
        <v>257</v>
      </c>
      <c r="Q2" s="281" t="s">
        <v>258</v>
      </c>
      <c r="R2" s="282" t="s">
        <v>95</v>
      </c>
      <c r="S2" s="282" t="s">
        <v>102</v>
      </c>
      <c r="T2" s="282" t="s">
        <v>259</v>
      </c>
      <c r="U2" s="282" t="s">
        <v>260</v>
      </c>
      <c r="V2" s="282" t="s">
        <v>261</v>
      </c>
      <c r="W2" s="282" t="s">
        <v>262</v>
      </c>
      <c r="X2" s="282" t="s">
        <v>263</v>
      </c>
      <c r="Y2" s="282" t="s">
        <v>264</v>
      </c>
      <c r="Z2" s="282" t="s">
        <v>103</v>
      </c>
      <c r="AA2" s="282" t="s">
        <v>110</v>
      </c>
      <c r="AB2" s="282" t="s">
        <v>265</v>
      </c>
      <c r="AC2" s="282" t="s">
        <v>266</v>
      </c>
      <c r="AD2" s="282" t="s">
        <v>267</v>
      </c>
      <c r="AE2" s="282" t="s">
        <v>268</v>
      </c>
      <c r="AF2" s="282" t="s">
        <v>269</v>
      </c>
      <c r="AG2" s="282" t="s">
        <v>270</v>
      </c>
    </row>
    <row r="3" spans="1:33" ht="17.25" customHeight="1" x14ac:dyDescent="0.2">
      <c r="A3" s="145"/>
      <c r="G3" s="146"/>
      <c r="I3" s="280">
        <v>2</v>
      </c>
      <c r="J3" s="285">
        <f t="shared" ref="J3:J12" si="0">$J$13*I3</f>
        <v>2720</v>
      </c>
      <c r="K3" s="285">
        <f>$J$3*17</f>
        <v>46240</v>
      </c>
      <c r="L3" s="285">
        <f t="shared" ref="L3:L23" si="1">J3*18</f>
        <v>48960</v>
      </c>
      <c r="M3" s="285">
        <f t="shared" ref="M3:M23" si="2">J3*19</f>
        <v>51680</v>
      </c>
      <c r="N3" s="286">
        <f t="shared" ref="N3:N23" si="3">J3*20</f>
        <v>54400</v>
      </c>
      <c r="O3" s="285">
        <f t="shared" ref="O3:O23" si="4">J3*21</f>
        <v>57120</v>
      </c>
      <c r="P3" s="285">
        <f t="shared" ref="P3:P23" si="5">J3*22</f>
        <v>59840</v>
      </c>
      <c r="Q3" s="285">
        <f t="shared" ref="Q3:Q23" si="6">J3*23</f>
        <v>62560</v>
      </c>
      <c r="R3" s="285">
        <f t="shared" ref="R3:R12" si="7">$F$61-$F$41-$F$42-$F$43-$F$44+($D$41/$D$42*J3*$E$41)+($D$43/$D$42*J3*$E$43)+J3*$E$42+J3*$E$44</f>
        <v>24560.61736</v>
      </c>
      <c r="S3" s="285">
        <f t="shared" ref="S3:S23" si="8">K3-$R3</f>
        <v>21679.38264</v>
      </c>
      <c r="T3" s="285">
        <f t="shared" ref="T3:T23" si="9">L3-$R3</f>
        <v>24399.38264</v>
      </c>
      <c r="U3" s="285">
        <f t="shared" ref="U3:U23" si="10">M3-$R3</f>
        <v>27119.38264</v>
      </c>
      <c r="V3" s="285">
        <f t="shared" ref="V3:V23" si="11">N3-$R3</f>
        <v>29839.38264</v>
      </c>
      <c r="W3" s="285">
        <f t="shared" ref="W3:W23" si="12">O3-$R3</f>
        <v>32559.38264</v>
      </c>
      <c r="X3" s="285">
        <f t="shared" ref="X3:X23" si="13">P3-$R3</f>
        <v>35279.382639999996</v>
      </c>
      <c r="Y3" s="285">
        <f t="shared" ref="Y3:Y23" si="14">Q3-$R3</f>
        <v>37999.382639999996</v>
      </c>
      <c r="Z3" s="285">
        <f t="shared" ref="Z3:Z23" si="15">$D$65/$D$11*J3*$E$65</f>
        <v>2700</v>
      </c>
      <c r="AA3" s="285">
        <f t="shared" ref="AA3:AA22" si="16">S3-$Z3</f>
        <v>18979.38264</v>
      </c>
      <c r="AB3" s="285">
        <f t="shared" ref="AB3:AB23" si="17">T3-$Z3</f>
        <v>21699.38264</v>
      </c>
      <c r="AC3" s="285">
        <f t="shared" ref="AC3:AC23" si="18">U3-$Z3</f>
        <v>24419.38264</v>
      </c>
      <c r="AD3" s="285">
        <f t="shared" ref="AD3:AD23" si="19">V3-$Z3</f>
        <v>27139.38264</v>
      </c>
      <c r="AE3" s="285">
        <f t="shared" ref="AE3:AE23" si="20">W3-$Z3</f>
        <v>29859.38264</v>
      </c>
      <c r="AF3" s="285">
        <f t="shared" ref="AF3:AF23" si="21">X3-$Z3</f>
        <v>32579.382639999996</v>
      </c>
      <c r="AG3" s="285">
        <f t="shared" ref="AG3:AG23" si="22">Y3-$Z3</f>
        <v>35299.382639999996</v>
      </c>
    </row>
    <row r="4" spans="1:33" ht="17.25" customHeight="1" x14ac:dyDescent="0.2">
      <c r="A4" s="147" t="s">
        <v>271</v>
      </c>
      <c r="B4" s="199" t="s">
        <v>272</v>
      </c>
      <c r="C4" s="199"/>
      <c r="D4" s="205"/>
      <c r="E4" s="206"/>
      <c r="F4" s="206"/>
      <c r="G4" s="207"/>
      <c r="I4" s="280">
        <v>1.9</v>
      </c>
      <c r="J4" s="285">
        <f t="shared" si="0"/>
        <v>2584</v>
      </c>
      <c r="K4" s="285">
        <f>$J$4*17</f>
        <v>43928</v>
      </c>
      <c r="L4" s="285">
        <f t="shared" si="1"/>
        <v>46512</v>
      </c>
      <c r="M4" s="285">
        <f t="shared" si="2"/>
        <v>49096</v>
      </c>
      <c r="N4" s="286">
        <f t="shared" si="3"/>
        <v>51680</v>
      </c>
      <c r="O4" s="285">
        <f t="shared" si="4"/>
        <v>54264</v>
      </c>
      <c r="P4" s="285">
        <f t="shared" si="5"/>
        <v>56848</v>
      </c>
      <c r="Q4" s="285">
        <f t="shared" si="6"/>
        <v>59432</v>
      </c>
      <c r="R4" s="285">
        <f t="shared" si="7"/>
        <v>23862.61736</v>
      </c>
      <c r="S4" s="285">
        <f t="shared" si="8"/>
        <v>20065.38264</v>
      </c>
      <c r="T4" s="285">
        <f t="shared" si="9"/>
        <v>22649.38264</v>
      </c>
      <c r="U4" s="285">
        <f t="shared" si="10"/>
        <v>25233.38264</v>
      </c>
      <c r="V4" s="285">
        <f t="shared" si="11"/>
        <v>27817.38264</v>
      </c>
      <c r="W4" s="285">
        <f t="shared" si="12"/>
        <v>30401.38264</v>
      </c>
      <c r="X4" s="285">
        <f t="shared" si="13"/>
        <v>32985.382639999996</v>
      </c>
      <c r="Y4" s="285">
        <f t="shared" si="14"/>
        <v>35569.382639999996</v>
      </c>
      <c r="Z4" s="285">
        <f t="shared" si="15"/>
        <v>2565</v>
      </c>
      <c r="AA4" s="285">
        <f t="shared" si="16"/>
        <v>17500.38264</v>
      </c>
      <c r="AB4" s="285">
        <f t="shared" si="17"/>
        <v>20084.38264</v>
      </c>
      <c r="AC4" s="285">
        <f t="shared" si="18"/>
        <v>22668.38264</v>
      </c>
      <c r="AD4" s="285">
        <f t="shared" si="19"/>
        <v>25252.38264</v>
      </c>
      <c r="AE4" s="285">
        <f t="shared" si="20"/>
        <v>27836.38264</v>
      </c>
      <c r="AF4" s="285">
        <f t="shared" si="21"/>
        <v>30420.382639999996</v>
      </c>
      <c r="AG4" s="285">
        <f t="shared" si="22"/>
        <v>33004.382639999996</v>
      </c>
    </row>
    <row r="5" spans="1:33" ht="17.25" customHeight="1" x14ac:dyDescent="0.2">
      <c r="A5" s="208" t="s">
        <v>113</v>
      </c>
      <c r="B5" s="209"/>
      <c r="C5" s="209"/>
      <c r="D5" s="210"/>
      <c r="E5" s="211"/>
      <c r="F5" s="211"/>
      <c r="G5" s="212"/>
      <c r="I5" s="280">
        <v>1.8</v>
      </c>
      <c r="J5" s="285">
        <f t="shared" si="0"/>
        <v>2448</v>
      </c>
      <c r="K5" s="285">
        <f>$J$5*17</f>
        <v>41616</v>
      </c>
      <c r="L5" s="285">
        <f t="shared" si="1"/>
        <v>44064</v>
      </c>
      <c r="M5" s="285">
        <f t="shared" si="2"/>
        <v>46512</v>
      </c>
      <c r="N5" s="286">
        <f t="shared" si="3"/>
        <v>48960</v>
      </c>
      <c r="O5" s="285">
        <f t="shared" si="4"/>
        <v>51408</v>
      </c>
      <c r="P5" s="285">
        <f t="shared" si="5"/>
        <v>53856</v>
      </c>
      <c r="Q5" s="285">
        <f t="shared" si="6"/>
        <v>56304</v>
      </c>
      <c r="R5" s="285">
        <f t="shared" si="7"/>
        <v>23164.61736</v>
      </c>
      <c r="S5" s="285">
        <f t="shared" si="8"/>
        <v>18451.38264</v>
      </c>
      <c r="T5" s="285">
        <f t="shared" si="9"/>
        <v>20899.38264</v>
      </c>
      <c r="U5" s="285">
        <f t="shared" si="10"/>
        <v>23347.38264</v>
      </c>
      <c r="V5" s="285">
        <f t="shared" si="11"/>
        <v>25795.38264</v>
      </c>
      <c r="W5" s="285">
        <f t="shared" si="12"/>
        <v>28243.38264</v>
      </c>
      <c r="X5" s="285">
        <f t="shared" si="13"/>
        <v>30691.38264</v>
      </c>
      <c r="Y5" s="285">
        <f t="shared" si="14"/>
        <v>33139.382639999996</v>
      </c>
      <c r="Z5" s="285">
        <f t="shared" si="15"/>
        <v>2430</v>
      </c>
      <c r="AA5" s="285">
        <f t="shared" si="16"/>
        <v>16021.38264</v>
      </c>
      <c r="AB5" s="285">
        <f t="shared" si="17"/>
        <v>18469.38264</v>
      </c>
      <c r="AC5" s="285">
        <f t="shared" si="18"/>
        <v>20917.38264</v>
      </c>
      <c r="AD5" s="285">
        <f t="shared" si="19"/>
        <v>23365.38264</v>
      </c>
      <c r="AE5" s="285">
        <f t="shared" si="20"/>
        <v>25813.38264</v>
      </c>
      <c r="AF5" s="285">
        <f t="shared" si="21"/>
        <v>28261.38264</v>
      </c>
      <c r="AG5" s="285">
        <f t="shared" si="22"/>
        <v>30709.382639999996</v>
      </c>
    </row>
    <row r="6" spans="1:33" ht="17.25" customHeight="1" x14ac:dyDescent="0.2">
      <c r="A6" s="193" t="s">
        <v>114</v>
      </c>
      <c r="B6" s="194"/>
      <c r="C6" s="194"/>
      <c r="D6" s="195"/>
      <c r="E6" s="196"/>
      <c r="F6" s="196"/>
      <c r="G6" s="197"/>
      <c r="I6" s="280">
        <v>1.7</v>
      </c>
      <c r="J6" s="285">
        <f t="shared" si="0"/>
        <v>2312</v>
      </c>
      <c r="K6" s="285">
        <f>$J$6*17</f>
        <v>39304</v>
      </c>
      <c r="L6" s="285">
        <f t="shared" si="1"/>
        <v>41616</v>
      </c>
      <c r="M6" s="285">
        <f t="shared" si="2"/>
        <v>43928</v>
      </c>
      <c r="N6" s="286">
        <f t="shared" si="3"/>
        <v>46240</v>
      </c>
      <c r="O6" s="285">
        <f t="shared" si="4"/>
        <v>48552</v>
      </c>
      <c r="P6" s="285">
        <f t="shared" si="5"/>
        <v>50864</v>
      </c>
      <c r="Q6" s="285">
        <f t="shared" si="6"/>
        <v>53176</v>
      </c>
      <c r="R6" s="285">
        <f t="shared" si="7"/>
        <v>22466.61736</v>
      </c>
      <c r="S6" s="285">
        <f t="shared" si="8"/>
        <v>16837.38264</v>
      </c>
      <c r="T6" s="285">
        <f t="shared" si="9"/>
        <v>19149.38264</v>
      </c>
      <c r="U6" s="285">
        <f t="shared" si="10"/>
        <v>21461.38264</v>
      </c>
      <c r="V6" s="285">
        <f t="shared" si="11"/>
        <v>23773.38264</v>
      </c>
      <c r="W6" s="285">
        <f t="shared" si="12"/>
        <v>26085.38264</v>
      </c>
      <c r="X6" s="285">
        <f t="shared" si="13"/>
        <v>28397.38264</v>
      </c>
      <c r="Y6" s="285">
        <f t="shared" si="14"/>
        <v>30709.38264</v>
      </c>
      <c r="Z6" s="285">
        <f t="shared" si="15"/>
        <v>2295</v>
      </c>
      <c r="AA6" s="285">
        <f t="shared" si="16"/>
        <v>14542.38264</v>
      </c>
      <c r="AB6" s="285">
        <f t="shared" si="17"/>
        <v>16854.38264</v>
      </c>
      <c r="AC6" s="285">
        <f t="shared" si="18"/>
        <v>19166.38264</v>
      </c>
      <c r="AD6" s="285">
        <f t="shared" si="19"/>
        <v>21478.38264</v>
      </c>
      <c r="AE6" s="285">
        <f t="shared" si="20"/>
        <v>23790.38264</v>
      </c>
      <c r="AF6" s="285">
        <f t="shared" si="21"/>
        <v>26102.38264</v>
      </c>
      <c r="AG6" s="285">
        <f t="shared" si="22"/>
        <v>28414.38264</v>
      </c>
    </row>
    <row r="7" spans="1:33" ht="17.25" customHeight="1" x14ac:dyDescent="0.2">
      <c r="I7" s="280">
        <v>1.6</v>
      </c>
      <c r="J7" s="285">
        <f t="shared" si="0"/>
        <v>2176</v>
      </c>
      <c r="K7" s="285">
        <f>$J$7*17</f>
        <v>36992</v>
      </c>
      <c r="L7" s="285">
        <f t="shared" si="1"/>
        <v>39168</v>
      </c>
      <c r="M7" s="285">
        <f t="shared" si="2"/>
        <v>41344</v>
      </c>
      <c r="N7" s="286">
        <f t="shared" si="3"/>
        <v>43520</v>
      </c>
      <c r="O7" s="285">
        <f t="shared" si="4"/>
        <v>45696</v>
      </c>
      <c r="P7" s="285">
        <f t="shared" si="5"/>
        <v>47872</v>
      </c>
      <c r="Q7" s="285">
        <f t="shared" si="6"/>
        <v>50048</v>
      </c>
      <c r="R7" s="285">
        <f t="shared" si="7"/>
        <v>21768.61736</v>
      </c>
      <c r="S7" s="285">
        <f t="shared" si="8"/>
        <v>15223.38264</v>
      </c>
      <c r="T7" s="285">
        <f t="shared" si="9"/>
        <v>17399.38264</v>
      </c>
      <c r="U7" s="285">
        <f t="shared" si="10"/>
        <v>19575.38264</v>
      </c>
      <c r="V7" s="285">
        <f t="shared" si="11"/>
        <v>21751.38264</v>
      </c>
      <c r="W7" s="285">
        <f t="shared" si="12"/>
        <v>23927.38264</v>
      </c>
      <c r="X7" s="285">
        <f t="shared" si="13"/>
        <v>26103.38264</v>
      </c>
      <c r="Y7" s="285">
        <f t="shared" si="14"/>
        <v>28279.38264</v>
      </c>
      <c r="Z7" s="285">
        <f t="shared" si="15"/>
        <v>2160</v>
      </c>
      <c r="AA7" s="285">
        <f t="shared" si="16"/>
        <v>13063.38264</v>
      </c>
      <c r="AB7" s="285">
        <f t="shared" si="17"/>
        <v>15239.38264</v>
      </c>
      <c r="AC7" s="285">
        <f t="shared" si="18"/>
        <v>17415.38264</v>
      </c>
      <c r="AD7" s="285">
        <f t="shared" si="19"/>
        <v>19591.38264</v>
      </c>
      <c r="AE7" s="285">
        <f t="shared" si="20"/>
        <v>21767.38264</v>
      </c>
      <c r="AF7" s="285">
        <f t="shared" si="21"/>
        <v>23943.38264</v>
      </c>
      <c r="AG7" s="285">
        <f t="shared" si="22"/>
        <v>26119.38264</v>
      </c>
    </row>
    <row r="8" spans="1:33" ht="17.25" customHeight="1" x14ac:dyDescent="0.2">
      <c r="A8" s="148" t="s">
        <v>115</v>
      </c>
      <c r="B8" s="149"/>
      <c r="F8" s="65" t="s">
        <v>273</v>
      </c>
      <c r="I8" s="280">
        <v>1.5</v>
      </c>
      <c r="J8" s="285">
        <f t="shared" si="0"/>
        <v>2040</v>
      </c>
      <c r="K8" s="285">
        <f>$J$8*17</f>
        <v>34680</v>
      </c>
      <c r="L8" s="285">
        <f t="shared" si="1"/>
        <v>36720</v>
      </c>
      <c r="M8" s="285">
        <f t="shared" si="2"/>
        <v>38760</v>
      </c>
      <c r="N8" s="286">
        <f t="shared" si="3"/>
        <v>40800</v>
      </c>
      <c r="O8" s="285">
        <f t="shared" si="4"/>
        <v>42840</v>
      </c>
      <c r="P8" s="285">
        <f t="shared" si="5"/>
        <v>44880</v>
      </c>
      <c r="Q8" s="285">
        <f t="shared" si="6"/>
        <v>46920</v>
      </c>
      <c r="R8" s="285">
        <f t="shared" si="7"/>
        <v>21070.61736</v>
      </c>
      <c r="S8" s="285">
        <f t="shared" si="8"/>
        <v>13609.38264</v>
      </c>
      <c r="T8" s="285">
        <f t="shared" si="9"/>
        <v>15649.38264</v>
      </c>
      <c r="U8" s="285">
        <f t="shared" si="10"/>
        <v>17689.38264</v>
      </c>
      <c r="V8" s="285">
        <f t="shared" si="11"/>
        <v>19729.38264</v>
      </c>
      <c r="W8" s="285">
        <f t="shared" si="12"/>
        <v>21769.38264</v>
      </c>
      <c r="X8" s="285">
        <f t="shared" si="13"/>
        <v>23809.38264</v>
      </c>
      <c r="Y8" s="285">
        <f t="shared" si="14"/>
        <v>25849.38264</v>
      </c>
      <c r="Z8" s="285">
        <f t="shared" si="15"/>
        <v>2025</v>
      </c>
      <c r="AA8" s="285">
        <f t="shared" si="16"/>
        <v>11584.38264</v>
      </c>
      <c r="AB8" s="285">
        <f t="shared" si="17"/>
        <v>13624.38264</v>
      </c>
      <c r="AC8" s="285">
        <f t="shared" si="18"/>
        <v>15664.38264</v>
      </c>
      <c r="AD8" s="285">
        <f t="shared" si="19"/>
        <v>17704.38264</v>
      </c>
      <c r="AE8" s="285">
        <f t="shared" si="20"/>
        <v>19744.38264</v>
      </c>
      <c r="AF8" s="285">
        <f t="shared" si="21"/>
        <v>21784.38264</v>
      </c>
      <c r="AG8" s="285">
        <f t="shared" si="22"/>
        <v>23824.38264</v>
      </c>
    </row>
    <row r="9" spans="1:33" ht="17.25" customHeight="1" x14ac:dyDescent="0.2">
      <c r="A9" s="150"/>
      <c r="B9" s="150"/>
      <c r="C9" s="151" t="s">
        <v>116</v>
      </c>
      <c r="D9" s="152" t="s">
        <v>117</v>
      </c>
      <c r="E9" s="48" t="s">
        <v>274</v>
      </c>
      <c r="F9" s="48" t="s">
        <v>127</v>
      </c>
      <c r="G9" s="153" t="s">
        <v>120</v>
      </c>
      <c r="H9" s="150"/>
      <c r="I9" s="280">
        <v>1.4</v>
      </c>
      <c r="J9" s="285">
        <f t="shared" si="0"/>
        <v>1903.9999999999998</v>
      </c>
      <c r="K9" s="285">
        <f>$J$9*17</f>
        <v>32367.999999999996</v>
      </c>
      <c r="L9" s="285">
        <f t="shared" si="1"/>
        <v>34271.999999999993</v>
      </c>
      <c r="M9" s="285">
        <f t="shared" si="2"/>
        <v>36175.999999999993</v>
      </c>
      <c r="N9" s="286">
        <f t="shared" si="3"/>
        <v>38079.999999999993</v>
      </c>
      <c r="O9" s="285">
        <f t="shared" si="4"/>
        <v>39983.999999999993</v>
      </c>
      <c r="P9" s="285">
        <f t="shared" si="5"/>
        <v>41887.999999999993</v>
      </c>
      <c r="Q9" s="285">
        <f t="shared" si="6"/>
        <v>43791.999999999993</v>
      </c>
      <c r="R9" s="285">
        <f t="shared" si="7"/>
        <v>20372.61736</v>
      </c>
      <c r="S9" s="285">
        <f t="shared" si="8"/>
        <v>11995.382639999996</v>
      </c>
      <c r="T9" s="285">
        <f t="shared" si="9"/>
        <v>13899.382639999993</v>
      </c>
      <c r="U9" s="285">
        <f t="shared" si="10"/>
        <v>15803.382639999993</v>
      </c>
      <c r="V9" s="285">
        <f t="shared" si="11"/>
        <v>17707.382639999993</v>
      </c>
      <c r="W9" s="285">
        <f t="shared" si="12"/>
        <v>19611.382639999993</v>
      </c>
      <c r="X9" s="285">
        <f t="shared" si="13"/>
        <v>21515.382639999993</v>
      </c>
      <c r="Y9" s="285">
        <f t="shared" si="14"/>
        <v>23419.382639999993</v>
      </c>
      <c r="Z9" s="285">
        <f t="shared" si="15"/>
        <v>1889.9999999999998</v>
      </c>
      <c r="AA9" s="285">
        <f t="shared" si="16"/>
        <v>10105.382639999996</v>
      </c>
      <c r="AB9" s="285">
        <f t="shared" si="17"/>
        <v>12009.382639999993</v>
      </c>
      <c r="AC9" s="285">
        <f t="shared" si="18"/>
        <v>13913.382639999993</v>
      </c>
      <c r="AD9" s="285">
        <f t="shared" si="19"/>
        <v>15817.382639999993</v>
      </c>
      <c r="AE9" s="285">
        <f t="shared" si="20"/>
        <v>17721.382639999993</v>
      </c>
      <c r="AF9" s="285">
        <f t="shared" si="21"/>
        <v>19625.382639999993</v>
      </c>
      <c r="AG9" s="285">
        <f t="shared" si="22"/>
        <v>21529.382639999993</v>
      </c>
    </row>
    <row r="10" spans="1:33" ht="17.25" customHeight="1" x14ac:dyDescent="0.2">
      <c r="A10" s="50" t="s">
        <v>121</v>
      </c>
      <c r="D10" s="51"/>
      <c r="E10" s="52"/>
      <c r="F10" s="52"/>
      <c r="I10" s="280">
        <v>1.3</v>
      </c>
      <c r="J10" s="285">
        <f t="shared" si="0"/>
        <v>1768</v>
      </c>
      <c r="K10" s="285">
        <f>$J$10*17</f>
        <v>30056</v>
      </c>
      <c r="L10" s="285">
        <f t="shared" si="1"/>
        <v>31824</v>
      </c>
      <c r="M10" s="285">
        <f t="shared" si="2"/>
        <v>33592</v>
      </c>
      <c r="N10" s="286">
        <f t="shared" si="3"/>
        <v>35360</v>
      </c>
      <c r="O10" s="285">
        <f t="shared" si="4"/>
        <v>37128</v>
      </c>
      <c r="P10" s="285">
        <f t="shared" si="5"/>
        <v>38896</v>
      </c>
      <c r="Q10" s="285">
        <f t="shared" si="6"/>
        <v>40664</v>
      </c>
      <c r="R10" s="285">
        <f t="shared" si="7"/>
        <v>19674.61736</v>
      </c>
      <c r="S10" s="285">
        <f t="shared" si="8"/>
        <v>10381.38264</v>
      </c>
      <c r="T10" s="285">
        <f t="shared" si="9"/>
        <v>12149.38264</v>
      </c>
      <c r="U10" s="285">
        <f t="shared" si="10"/>
        <v>13917.38264</v>
      </c>
      <c r="V10" s="285">
        <f t="shared" si="11"/>
        <v>15685.38264</v>
      </c>
      <c r="W10" s="285">
        <f t="shared" si="12"/>
        <v>17453.38264</v>
      </c>
      <c r="X10" s="285">
        <f t="shared" si="13"/>
        <v>19221.38264</v>
      </c>
      <c r="Y10" s="285">
        <f t="shared" si="14"/>
        <v>20989.38264</v>
      </c>
      <c r="Z10" s="285">
        <f t="shared" si="15"/>
        <v>1755</v>
      </c>
      <c r="AA10" s="285">
        <f t="shared" si="16"/>
        <v>8626.3826399999998</v>
      </c>
      <c r="AB10" s="285">
        <f t="shared" si="17"/>
        <v>10394.38264</v>
      </c>
      <c r="AC10" s="285">
        <f t="shared" si="18"/>
        <v>12162.38264</v>
      </c>
      <c r="AD10" s="285">
        <f t="shared" si="19"/>
        <v>13930.38264</v>
      </c>
      <c r="AE10" s="285">
        <f t="shared" si="20"/>
        <v>15698.38264</v>
      </c>
      <c r="AF10" s="285">
        <f t="shared" si="21"/>
        <v>17466.38264</v>
      </c>
      <c r="AG10" s="285">
        <f t="shared" si="22"/>
        <v>19234.38264</v>
      </c>
    </row>
    <row r="11" spans="1:33" ht="17.25" customHeight="1" x14ac:dyDescent="0.2">
      <c r="B11" t="s">
        <v>275</v>
      </c>
      <c r="C11" t="s">
        <v>276</v>
      </c>
      <c r="D11" s="53">
        <v>1360</v>
      </c>
      <c r="E11" s="54">
        <v>20</v>
      </c>
      <c r="F11" s="52">
        <f>D11*E11</f>
        <v>27200</v>
      </c>
      <c r="G11" s="154"/>
      <c r="I11" s="280">
        <v>1.2</v>
      </c>
      <c r="J11" s="285">
        <f t="shared" si="0"/>
        <v>1632</v>
      </c>
      <c r="K11" s="285">
        <f>$J$11*17</f>
        <v>27744</v>
      </c>
      <c r="L11" s="285">
        <f t="shared" si="1"/>
        <v>29376</v>
      </c>
      <c r="M11" s="285">
        <f t="shared" si="2"/>
        <v>31008</v>
      </c>
      <c r="N11" s="286">
        <f t="shared" si="3"/>
        <v>32640</v>
      </c>
      <c r="O11" s="285">
        <f t="shared" si="4"/>
        <v>34272</v>
      </c>
      <c r="P11" s="285">
        <f t="shared" si="5"/>
        <v>35904</v>
      </c>
      <c r="Q11" s="285">
        <f t="shared" si="6"/>
        <v>37536</v>
      </c>
      <c r="R11" s="285">
        <f t="shared" si="7"/>
        <v>18976.61736</v>
      </c>
      <c r="S11" s="285">
        <f t="shared" si="8"/>
        <v>8767.3826399999998</v>
      </c>
      <c r="T11" s="285">
        <f t="shared" si="9"/>
        <v>10399.38264</v>
      </c>
      <c r="U11" s="285">
        <f t="shared" si="10"/>
        <v>12031.38264</v>
      </c>
      <c r="V11" s="285">
        <f t="shared" si="11"/>
        <v>13663.38264</v>
      </c>
      <c r="W11" s="285">
        <f t="shared" si="12"/>
        <v>15295.38264</v>
      </c>
      <c r="X11" s="285">
        <f t="shared" si="13"/>
        <v>16927.38264</v>
      </c>
      <c r="Y11" s="285">
        <f t="shared" si="14"/>
        <v>18559.38264</v>
      </c>
      <c r="Z11" s="285">
        <f t="shared" si="15"/>
        <v>1620</v>
      </c>
      <c r="AA11" s="285">
        <f t="shared" si="16"/>
        <v>7147.3826399999998</v>
      </c>
      <c r="AB11" s="285">
        <f t="shared" si="17"/>
        <v>8779.3826399999998</v>
      </c>
      <c r="AC11" s="285">
        <f t="shared" si="18"/>
        <v>10411.38264</v>
      </c>
      <c r="AD11" s="285">
        <f t="shared" si="19"/>
        <v>12043.38264</v>
      </c>
      <c r="AE11" s="285">
        <f t="shared" si="20"/>
        <v>13675.38264</v>
      </c>
      <c r="AF11" s="285">
        <f t="shared" si="21"/>
        <v>15307.38264</v>
      </c>
      <c r="AG11" s="285">
        <f t="shared" si="22"/>
        <v>16939.38264</v>
      </c>
    </row>
    <row r="12" spans="1:33" ht="17.25" customHeight="1" x14ac:dyDescent="0.2">
      <c r="D12" s="53"/>
      <c r="E12" s="52"/>
      <c r="F12" s="52"/>
      <c r="I12" s="280">
        <v>1.1000000000000001</v>
      </c>
      <c r="J12" s="285">
        <f t="shared" si="0"/>
        <v>1496.0000000000002</v>
      </c>
      <c r="K12" s="285">
        <f>$J$12*17</f>
        <v>25432.000000000004</v>
      </c>
      <c r="L12" s="285">
        <f t="shared" si="1"/>
        <v>26928.000000000004</v>
      </c>
      <c r="M12" s="285">
        <f t="shared" si="2"/>
        <v>28424.000000000004</v>
      </c>
      <c r="N12" s="286">
        <f t="shared" si="3"/>
        <v>29920.000000000004</v>
      </c>
      <c r="O12" s="285">
        <f t="shared" si="4"/>
        <v>31416.000000000004</v>
      </c>
      <c r="P12" s="285">
        <f t="shared" si="5"/>
        <v>32912.000000000007</v>
      </c>
      <c r="Q12" s="285">
        <f t="shared" si="6"/>
        <v>34408.000000000007</v>
      </c>
      <c r="R12" s="285">
        <f t="shared" si="7"/>
        <v>18278.61736</v>
      </c>
      <c r="S12" s="285">
        <f t="shared" si="8"/>
        <v>7153.3826400000034</v>
      </c>
      <c r="T12" s="285">
        <f t="shared" si="9"/>
        <v>8649.3826400000034</v>
      </c>
      <c r="U12" s="285">
        <f t="shared" si="10"/>
        <v>10145.382640000003</v>
      </c>
      <c r="V12" s="285">
        <f t="shared" si="11"/>
        <v>11641.382640000003</v>
      </c>
      <c r="W12" s="285">
        <f t="shared" si="12"/>
        <v>13137.382640000003</v>
      </c>
      <c r="X12" s="285">
        <f t="shared" si="13"/>
        <v>14633.382640000007</v>
      </c>
      <c r="Y12" s="285">
        <f t="shared" si="14"/>
        <v>16129.382640000007</v>
      </c>
      <c r="Z12" s="285">
        <f t="shared" si="15"/>
        <v>1485.0000000000002</v>
      </c>
      <c r="AA12" s="285">
        <f t="shared" si="16"/>
        <v>5668.3826400000034</v>
      </c>
      <c r="AB12" s="285">
        <f t="shared" si="17"/>
        <v>7164.3826400000034</v>
      </c>
      <c r="AC12" s="285">
        <f t="shared" si="18"/>
        <v>8660.3826400000034</v>
      </c>
      <c r="AD12" s="285">
        <f t="shared" si="19"/>
        <v>10156.382640000003</v>
      </c>
      <c r="AE12" s="285">
        <f t="shared" si="20"/>
        <v>11652.382640000003</v>
      </c>
      <c r="AF12" s="285">
        <f t="shared" si="21"/>
        <v>13148.382640000007</v>
      </c>
      <c r="AG12" s="285">
        <f t="shared" si="22"/>
        <v>14644.382640000007</v>
      </c>
    </row>
    <row r="13" spans="1:33" ht="17.25" customHeight="1" x14ac:dyDescent="0.2">
      <c r="A13" s="57"/>
      <c r="B13" s="57"/>
      <c r="C13" s="57"/>
      <c r="D13" s="60"/>
      <c r="E13" s="61"/>
      <c r="F13" s="61"/>
      <c r="G13" s="57"/>
      <c r="I13" s="287">
        <v>1</v>
      </c>
      <c r="J13" s="295">
        <v>1360</v>
      </c>
      <c r="K13" s="285">
        <f>$J$13*17</f>
        <v>23120</v>
      </c>
      <c r="L13" s="285">
        <f t="shared" si="1"/>
        <v>24480</v>
      </c>
      <c r="M13" s="285">
        <f t="shared" si="2"/>
        <v>25840</v>
      </c>
      <c r="N13" s="296">
        <f t="shared" si="3"/>
        <v>27200</v>
      </c>
      <c r="O13" s="285">
        <f t="shared" si="4"/>
        <v>28560</v>
      </c>
      <c r="P13" s="285">
        <f t="shared" si="5"/>
        <v>29920</v>
      </c>
      <c r="Q13" s="285">
        <f t="shared" si="6"/>
        <v>31280</v>
      </c>
      <c r="R13" s="295">
        <f>$F$61-$F$41-$F$42-$F$43-$F$44+($D$41/$D$42*J13*$E$41)+($D$43/$D$42*J13*$E$43)+(J13*$E$42)+(J13*$E$44)</f>
        <v>17580.61736</v>
      </c>
      <c r="S13" s="285">
        <f t="shared" si="8"/>
        <v>5539.3826399999998</v>
      </c>
      <c r="T13" s="285">
        <f t="shared" si="9"/>
        <v>6899.3826399999998</v>
      </c>
      <c r="U13" s="285">
        <f t="shared" si="10"/>
        <v>8259.3826399999998</v>
      </c>
      <c r="V13" s="297">
        <f t="shared" si="11"/>
        <v>9619.3826399999998</v>
      </c>
      <c r="W13" s="285">
        <f t="shared" si="12"/>
        <v>10979.38264</v>
      </c>
      <c r="X13" s="285">
        <f t="shared" si="13"/>
        <v>12339.38264</v>
      </c>
      <c r="Y13" s="285">
        <f t="shared" si="14"/>
        <v>13699.38264</v>
      </c>
      <c r="Z13" s="297">
        <f t="shared" si="15"/>
        <v>1350</v>
      </c>
      <c r="AA13" s="285">
        <f t="shared" si="16"/>
        <v>4189.3826399999998</v>
      </c>
      <c r="AB13" s="285">
        <f t="shared" si="17"/>
        <v>5549.3826399999998</v>
      </c>
      <c r="AC13" s="285">
        <f t="shared" si="18"/>
        <v>6909.3826399999998</v>
      </c>
      <c r="AD13" s="297">
        <f t="shared" si="19"/>
        <v>8269.3826399999998</v>
      </c>
      <c r="AE13" s="285">
        <f t="shared" si="20"/>
        <v>9629.3826399999998</v>
      </c>
      <c r="AF13" s="285">
        <f t="shared" si="21"/>
        <v>10989.38264</v>
      </c>
      <c r="AG13" s="285">
        <f t="shared" si="22"/>
        <v>12349.38264</v>
      </c>
    </row>
    <row r="14" spans="1:33" ht="17.25" customHeight="1" x14ac:dyDescent="0.2">
      <c r="A14" t="s">
        <v>124</v>
      </c>
      <c r="D14" s="53"/>
      <c r="E14" s="52"/>
      <c r="F14" s="52"/>
      <c r="I14" s="280">
        <v>0.9</v>
      </c>
      <c r="J14" s="285">
        <f t="shared" ref="J14:J23" si="23">$J$13*I14</f>
        <v>1224</v>
      </c>
      <c r="K14" s="285">
        <f>$J$14*17</f>
        <v>20808</v>
      </c>
      <c r="L14" s="285">
        <f t="shared" si="1"/>
        <v>22032</v>
      </c>
      <c r="M14" s="285">
        <f t="shared" si="2"/>
        <v>23256</v>
      </c>
      <c r="N14" s="286">
        <f t="shared" si="3"/>
        <v>24480</v>
      </c>
      <c r="O14" s="285">
        <f t="shared" si="4"/>
        <v>25704</v>
      </c>
      <c r="P14" s="285">
        <f t="shared" si="5"/>
        <v>26928</v>
      </c>
      <c r="Q14" s="285">
        <f t="shared" si="6"/>
        <v>28152</v>
      </c>
      <c r="R14" s="285">
        <f t="shared" ref="R14:R23" si="24">$F$61-$F$41-$F$42-$F$43-$F$44+($D$41/$D$42*J14*$E$41)+($D$43/$D$42*J14*$E$43)+J14*$E$42+J14*$E$44</f>
        <v>16882.61736</v>
      </c>
      <c r="S14" s="285">
        <f t="shared" si="8"/>
        <v>3925.3826399999998</v>
      </c>
      <c r="T14" s="285">
        <f t="shared" si="9"/>
        <v>5149.3826399999998</v>
      </c>
      <c r="U14" s="285">
        <f t="shared" si="10"/>
        <v>6373.3826399999998</v>
      </c>
      <c r="V14" s="285">
        <f t="shared" si="11"/>
        <v>7597.3826399999998</v>
      </c>
      <c r="W14" s="285">
        <f t="shared" si="12"/>
        <v>8821.3826399999998</v>
      </c>
      <c r="X14" s="285">
        <f t="shared" si="13"/>
        <v>10045.38264</v>
      </c>
      <c r="Y14" s="285">
        <f t="shared" si="14"/>
        <v>11269.38264</v>
      </c>
      <c r="Z14" s="285">
        <f t="shared" si="15"/>
        <v>1215</v>
      </c>
      <c r="AA14" s="285">
        <f t="shared" si="16"/>
        <v>2710.3826399999998</v>
      </c>
      <c r="AB14" s="285">
        <f t="shared" si="17"/>
        <v>3934.3826399999998</v>
      </c>
      <c r="AC14" s="285">
        <f t="shared" si="18"/>
        <v>5158.3826399999998</v>
      </c>
      <c r="AD14" s="285">
        <f t="shared" si="19"/>
        <v>6382.3826399999998</v>
      </c>
      <c r="AE14" s="285">
        <f t="shared" si="20"/>
        <v>7606.3826399999998</v>
      </c>
      <c r="AF14" s="285">
        <f t="shared" si="21"/>
        <v>8830.3826399999998</v>
      </c>
      <c r="AG14" s="285">
        <f t="shared" si="22"/>
        <v>10054.38264</v>
      </c>
    </row>
    <row r="15" spans="1:33" ht="17.25" customHeight="1" x14ac:dyDescent="0.2">
      <c r="B15" s="50" t="s">
        <v>125</v>
      </c>
      <c r="D15" s="53"/>
      <c r="E15" s="52"/>
      <c r="F15" s="52"/>
      <c r="I15" s="280">
        <v>0.8</v>
      </c>
      <c r="J15" s="285">
        <f t="shared" si="23"/>
        <v>1088</v>
      </c>
      <c r="K15" s="285">
        <f>$J$15*17</f>
        <v>18496</v>
      </c>
      <c r="L15" s="285">
        <f t="shared" si="1"/>
        <v>19584</v>
      </c>
      <c r="M15" s="285">
        <f t="shared" si="2"/>
        <v>20672</v>
      </c>
      <c r="N15" s="286">
        <f t="shared" si="3"/>
        <v>21760</v>
      </c>
      <c r="O15" s="285">
        <f t="shared" si="4"/>
        <v>22848</v>
      </c>
      <c r="P15" s="285">
        <f t="shared" si="5"/>
        <v>23936</v>
      </c>
      <c r="Q15" s="285">
        <f t="shared" si="6"/>
        <v>25024</v>
      </c>
      <c r="R15" s="285">
        <f t="shared" si="24"/>
        <v>16184.61736</v>
      </c>
      <c r="S15" s="285">
        <f t="shared" si="8"/>
        <v>2311.3826399999998</v>
      </c>
      <c r="T15" s="285">
        <f t="shared" si="9"/>
        <v>3399.3826399999998</v>
      </c>
      <c r="U15" s="285">
        <f t="shared" si="10"/>
        <v>4487.3826399999998</v>
      </c>
      <c r="V15" s="285">
        <f t="shared" si="11"/>
        <v>5575.3826399999998</v>
      </c>
      <c r="W15" s="285">
        <f t="shared" si="12"/>
        <v>6663.3826399999998</v>
      </c>
      <c r="X15" s="285">
        <f t="shared" si="13"/>
        <v>7751.3826399999998</v>
      </c>
      <c r="Y15" s="285">
        <f t="shared" si="14"/>
        <v>8839.3826399999998</v>
      </c>
      <c r="Z15" s="285">
        <f t="shared" si="15"/>
        <v>1080</v>
      </c>
      <c r="AA15" s="285">
        <f t="shared" si="16"/>
        <v>1231.3826399999998</v>
      </c>
      <c r="AB15" s="285">
        <f t="shared" si="17"/>
        <v>2319.3826399999998</v>
      </c>
      <c r="AC15" s="285">
        <f t="shared" si="18"/>
        <v>3407.3826399999998</v>
      </c>
      <c r="AD15" s="285">
        <f t="shared" si="19"/>
        <v>4495.3826399999998</v>
      </c>
      <c r="AE15" s="285">
        <f t="shared" si="20"/>
        <v>5583.3826399999998</v>
      </c>
      <c r="AF15" s="285">
        <f t="shared" si="21"/>
        <v>6671.3826399999998</v>
      </c>
      <c r="AG15" s="285">
        <f t="shared" si="22"/>
        <v>7759.3826399999998</v>
      </c>
    </row>
    <row r="16" spans="1:33" ht="17.25" customHeight="1" x14ac:dyDescent="0.2">
      <c r="B16" t="s">
        <v>126</v>
      </c>
      <c r="C16" t="s">
        <v>127</v>
      </c>
      <c r="D16" s="53">
        <v>1</v>
      </c>
      <c r="E16" s="54">
        <v>7</v>
      </c>
      <c r="F16" s="52">
        <f>D16*E16</f>
        <v>7</v>
      </c>
      <c r="G16" s="154"/>
      <c r="I16" s="280">
        <v>0.7</v>
      </c>
      <c r="J16" s="285">
        <f t="shared" si="23"/>
        <v>951.99999999999989</v>
      </c>
      <c r="K16" s="285">
        <f>$J$16*17</f>
        <v>16183.999999999998</v>
      </c>
      <c r="L16" s="285">
        <f t="shared" si="1"/>
        <v>17135.999999999996</v>
      </c>
      <c r="M16" s="285">
        <f t="shared" si="2"/>
        <v>18087.999999999996</v>
      </c>
      <c r="N16" s="286">
        <f t="shared" si="3"/>
        <v>19039.999999999996</v>
      </c>
      <c r="O16" s="285">
        <f t="shared" si="4"/>
        <v>19991.999999999996</v>
      </c>
      <c r="P16" s="285">
        <f t="shared" si="5"/>
        <v>20943.999999999996</v>
      </c>
      <c r="Q16" s="285">
        <f t="shared" si="6"/>
        <v>21895.999999999996</v>
      </c>
      <c r="R16" s="285">
        <f t="shared" si="24"/>
        <v>15486.61736</v>
      </c>
      <c r="S16" s="285">
        <f t="shared" si="8"/>
        <v>697.38263999999799</v>
      </c>
      <c r="T16" s="285">
        <f t="shared" si="9"/>
        <v>1649.3826399999962</v>
      </c>
      <c r="U16" s="285">
        <f t="shared" si="10"/>
        <v>2601.3826399999962</v>
      </c>
      <c r="V16" s="285">
        <f t="shared" si="11"/>
        <v>3553.3826399999962</v>
      </c>
      <c r="W16" s="285">
        <f t="shared" si="12"/>
        <v>4505.3826399999962</v>
      </c>
      <c r="X16" s="285">
        <f t="shared" si="13"/>
        <v>5457.3826399999962</v>
      </c>
      <c r="Y16" s="285">
        <f t="shared" si="14"/>
        <v>6409.3826399999962</v>
      </c>
      <c r="Z16" s="285">
        <f t="shared" si="15"/>
        <v>944.99999999999989</v>
      </c>
      <c r="AA16" s="285">
        <f t="shared" si="16"/>
        <v>-247.6173600000019</v>
      </c>
      <c r="AB16" s="285">
        <f t="shared" si="17"/>
        <v>704.38263999999629</v>
      </c>
      <c r="AC16" s="285">
        <f t="shared" si="18"/>
        <v>1656.3826399999962</v>
      </c>
      <c r="AD16" s="285">
        <f t="shared" si="19"/>
        <v>2608.3826399999962</v>
      </c>
      <c r="AE16" s="285">
        <f t="shared" si="20"/>
        <v>3560.3826399999962</v>
      </c>
      <c r="AF16" s="285">
        <f t="shared" si="21"/>
        <v>4512.3826399999962</v>
      </c>
      <c r="AG16" s="285">
        <f t="shared" si="22"/>
        <v>5464.3826399999962</v>
      </c>
    </row>
    <row r="17" spans="2:33" ht="17.25" customHeight="1" x14ac:dyDescent="0.2">
      <c r="B17" t="s">
        <v>277</v>
      </c>
      <c r="C17" t="s">
        <v>127</v>
      </c>
      <c r="D17" s="53">
        <v>1</v>
      </c>
      <c r="E17" s="54">
        <v>365</v>
      </c>
      <c r="F17" s="52">
        <f>D17*E17</f>
        <v>365</v>
      </c>
      <c r="G17" s="155"/>
      <c r="I17" s="280">
        <v>0.6</v>
      </c>
      <c r="J17" s="285">
        <f t="shared" si="23"/>
        <v>816</v>
      </c>
      <c r="K17" s="285">
        <f>$J$17*17</f>
        <v>13872</v>
      </c>
      <c r="L17" s="285">
        <f t="shared" si="1"/>
        <v>14688</v>
      </c>
      <c r="M17" s="285">
        <f t="shared" si="2"/>
        <v>15504</v>
      </c>
      <c r="N17" s="286">
        <f t="shared" si="3"/>
        <v>16320</v>
      </c>
      <c r="O17" s="285">
        <f t="shared" si="4"/>
        <v>17136</v>
      </c>
      <c r="P17" s="285">
        <f t="shared" si="5"/>
        <v>17952</v>
      </c>
      <c r="Q17" s="285">
        <f t="shared" si="6"/>
        <v>18768</v>
      </c>
      <c r="R17" s="285">
        <f t="shared" si="24"/>
        <v>14788.61736</v>
      </c>
      <c r="S17" s="285">
        <f t="shared" si="8"/>
        <v>-916.61736000000019</v>
      </c>
      <c r="T17" s="285">
        <f t="shared" si="9"/>
        <v>-100.61736000000019</v>
      </c>
      <c r="U17" s="285">
        <f t="shared" si="10"/>
        <v>715.38263999999981</v>
      </c>
      <c r="V17" s="285">
        <f t="shared" si="11"/>
        <v>1531.3826399999998</v>
      </c>
      <c r="W17" s="285">
        <f t="shared" si="12"/>
        <v>2347.3826399999998</v>
      </c>
      <c r="X17" s="285">
        <f t="shared" si="13"/>
        <v>3163.3826399999998</v>
      </c>
      <c r="Y17" s="285">
        <f t="shared" si="14"/>
        <v>3979.3826399999998</v>
      </c>
      <c r="Z17" s="285">
        <f t="shared" si="15"/>
        <v>810</v>
      </c>
      <c r="AA17" s="285">
        <f t="shared" si="16"/>
        <v>-1726.6173600000002</v>
      </c>
      <c r="AB17" s="285">
        <f t="shared" si="17"/>
        <v>-910.61736000000019</v>
      </c>
      <c r="AC17" s="285">
        <f t="shared" si="18"/>
        <v>-94.61736000000019</v>
      </c>
      <c r="AD17" s="285">
        <f t="shared" si="19"/>
        <v>721.38263999999981</v>
      </c>
      <c r="AE17" s="285">
        <f t="shared" si="20"/>
        <v>1537.3826399999998</v>
      </c>
      <c r="AF17" s="285">
        <f t="shared" si="21"/>
        <v>2353.3826399999998</v>
      </c>
      <c r="AG17" s="285">
        <f t="shared" si="22"/>
        <v>3169.3826399999998</v>
      </c>
    </row>
    <row r="18" spans="2:33" ht="17.25" customHeight="1" x14ac:dyDescent="0.2">
      <c r="B18" t="s">
        <v>130</v>
      </c>
      <c r="C18" t="s">
        <v>131</v>
      </c>
      <c r="D18" s="53">
        <v>1</v>
      </c>
      <c r="E18" s="54">
        <v>40</v>
      </c>
      <c r="F18" s="52">
        <f>D18*E18</f>
        <v>40</v>
      </c>
      <c r="G18" s="155"/>
      <c r="I18" s="280">
        <v>0.5</v>
      </c>
      <c r="J18" s="285">
        <f t="shared" si="23"/>
        <v>680</v>
      </c>
      <c r="K18" s="285">
        <f>$J$18*17</f>
        <v>11560</v>
      </c>
      <c r="L18" s="285">
        <f t="shared" si="1"/>
        <v>12240</v>
      </c>
      <c r="M18" s="285">
        <f t="shared" si="2"/>
        <v>12920</v>
      </c>
      <c r="N18" s="286">
        <f t="shared" si="3"/>
        <v>13600</v>
      </c>
      <c r="O18" s="285">
        <f t="shared" si="4"/>
        <v>14280</v>
      </c>
      <c r="P18" s="285">
        <f t="shared" si="5"/>
        <v>14960</v>
      </c>
      <c r="Q18" s="285">
        <f t="shared" si="6"/>
        <v>15640</v>
      </c>
      <c r="R18" s="285">
        <f t="shared" si="24"/>
        <v>14090.61736</v>
      </c>
      <c r="S18" s="285">
        <f t="shared" si="8"/>
        <v>-2530.6173600000002</v>
      </c>
      <c r="T18" s="285">
        <f t="shared" si="9"/>
        <v>-1850.6173600000002</v>
      </c>
      <c r="U18" s="285">
        <f t="shared" si="10"/>
        <v>-1170.6173600000002</v>
      </c>
      <c r="V18" s="285">
        <f t="shared" si="11"/>
        <v>-490.61736000000019</v>
      </c>
      <c r="W18" s="285">
        <f t="shared" si="12"/>
        <v>189.38263999999981</v>
      </c>
      <c r="X18" s="285">
        <f t="shared" si="13"/>
        <v>869.38263999999981</v>
      </c>
      <c r="Y18" s="285">
        <f t="shared" si="14"/>
        <v>1549.3826399999998</v>
      </c>
      <c r="Z18" s="285">
        <f t="shared" si="15"/>
        <v>675</v>
      </c>
      <c r="AA18" s="285">
        <f t="shared" si="16"/>
        <v>-3205.6173600000002</v>
      </c>
      <c r="AB18" s="285">
        <f t="shared" si="17"/>
        <v>-2525.6173600000002</v>
      </c>
      <c r="AC18" s="285">
        <f t="shared" si="18"/>
        <v>-1845.6173600000002</v>
      </c>
      <c r="AD18" s="285">
        <f t="shared" si="19"/>
        <v>-1165.6173600000002</v>
      </c>
      <c r="AE18" s="285">
        <f t="shared" si="20"/>
        <v>-485.61736000000019</v>
      </c>
      <c r="AF18" s="285">
        <f t="shared" si="21"/>
        <v>194.38263999999981</v>
      </c>
      <c r="AG18" s="285">
        <f t="shared" si="22"/>
        <v>874.38263999999981</v>
      </c>
    </row>
    <row r="19" spans="2:33" ht="17.25" customHeight="1" x14ac:dyDescent="0.2">
      <c r="B19" t="s">
        <v>278</v>
      </c>
      <c r="D19" s="53"/>
      <c r="E19" s="54"/>
      <c r="F19" s="52"/>
      <c r="I19" s="280">
        <v>0.4</v>
      </c>
      <c r="J19" s="285">
        <f t="shared" si="23"/>
        <v>544</v>
      </c>
      <c r="K19" s="285">
        <f>$J$19*17</f>
        <v>9248</v>
      </c>
      <c r="L19" s="285">
        <f t="shared" si="1"/>
        <v>9792</v>
      </c>
      <c r="M19" s="285">
        <f t="shared" si="2"/>
        <v>10336</v>
      </c>
      <c r="N19" s="286">
        <f t="shared" si="3"/>
        <v>10880</v>
      </c>
      <c r="O19" s="285">
        <f t="shared" si="4"/>
        <v>11424</v>
      </c>
      <c r="P19" s="285">
        <f t="shared" si="5"/>
        <v>11968</v>
      </c>
      <c r="Q19" s="285">
        <f t="shared" si="6"/>
        <v>12512</v>
      </c>
      <c r="R19" s="285">
        <f t="shared" si="24"/>
        <v>13392.61736</v>
      </c>
      <c r="S19" s="285">
        <f t="shared" si="8"/>
        <v>-4144.6173600000002</v>
      </c>
      <c r="T19" s="285">
        <f t="shared" si="9"/>
        <v>-3600.6173600000002</v>
      </c>
      <c r="U19" s="285">
        <f t="shared" si="10"/>
        <v>-3056.6173600000002</v>
      </c>
      <c r="V19" s="285">
        <f t="shared" si="11"/>
        <v>-2512.6173600000002</v>
      </c>
      <c r="W19" s="285">
        <f t="shared" si="12"/>
        <v>-1968.6173600000002</v>
      </c>
      <c r="X19" s="285">
        <f t="shared" si="13"/>
        <v>-1424.6173600000002</v>
      </c>
      <c r="Y19" s="285">
        <f t="shared" si="14"/>
        <v>-880.61736000000019</v>
      </c>
      <c r="Z19" s="285">
        <f t="shared" si="15"/>
        <v>540</v>
      </c>
      <c r="AA19" s="285">
        <f t="shared" si="16"/>
        <v>-4684.6173600000002</v>
      </c>
      <c r="AB19" s="285">
        <f t="shared" si="17"/>
        <v>-4140.6173600000002</v>
      </c>
      <c r="AC19" s="285">
        <f t="shared" si="18"/>
        <v>-3596.6173600000002</v>
      </c>
      <c r="AD19" s="285">
        <f t="shared" si="19"/>
        <v>-3052.6173600000002</v>
      </c>
      <c r="AE19" s="285">
        <f t="shared" si="20"/>
        <v>-2508.6173600000002</v>
      </c>
      <c r="AF19" s="285">
        <f t="shared" si="21"/>
        <v>-1964.6173600000002</v>
      </c>
      <c r="AG19" s="285">
        <f t="shared" si="22"/>
        <v>-1420.6173600000002</v>
      </c>
    </row>
    <row r="20" spans="2:33" ht="17.25" customHeight="1" x14ac:dyDescent="0.2">
      <c r="B20" s="11" t="s">
        <v>279</v>
      </c>
      <c r="C20" t="s">
        <v>116</v>
      </c>
      <c r="D20" s="53">
        <v>117</v>
      </c>
      <c r="E20" s="54">
        <v>0.43</v>
      </c>
      <c r="F20" s="52">
        <f>D20*E20</f>
        <v>50.31</v>
      </c>
      <c r="G20" s="154"/>
      <c r="I20" s="280">
        <v>0.3</v>
      </c>
      <c r="J20" s="285">
        <f t="shared" si="23"/>
        <v>408</v>
      </c>
      <c r="K20" s="285">
        <f>$J$20*17</f>
        <v>6936</v>
      </c>
      <c r="L20" s="285">
        <f t="shared" si="1"/>
        <v>7344</v>
      </c>
      <c r="M20" s="285">
        <f t="shared" si="2"/>
        <v>7752</v>
      </c>
      <c r="N20" s="286">
        <f t="shared" si="3"/>
        <v>8160</v>
      </c>
      <c r="O20" s="285">
        <f t="shared" si="4"/>
        <v>8568</v>
      </c>
      <c r="P20" s="285">
        <f t="shared" si="5"/>
        <v>8976</v>
      </c>
      <c r="Q20" s="285">
        <f t="shared" si="6"/>
        <v>9384</v>
      </c>
      <c r="R20" s="285">
        <f t="shared" si="24"/>
        <v>12694.61736</v>
      </c>
      <c r="S20" s="285">
        <f t="shared" si="8"/>
        <v>-5758.6173600000002</v>
      </c>
      <c r="T20" s="285">
        <f t="shared" si="9"/>
        <v>-5350.6173600000002</v>
      </c>
      <c r="U20" s="285">
        <f t="shared" si="10"/>
        <v>-4942.6173600000002</v>
      </c>
      <c r="V20" s="285">
        <f t="shared" si="11"/>
        <v>-4534.6173600000002</v>
      </c>
      <c r="W20" s="285">
        <f t="shared" si="12"/>
        <v>-4126.6173600000002</v>
      </c>
      <c r="X20" s="285">
        <f t="shared" si="13"/>
        <v>-3718.6173600000002</v>
      </c>
      <c r="Y20" s="285">
        <f t="shared" si="14"/>
        <v>-3310.6173600000002</v>
      </c>
      <c r="Z20" s="285">
        <f t="shared" si="15"/>
        <v>405</v>
      </c>
      <c r="AA20" s="285">
        <f t="shared" si="16"/>
        <v>-6163.6173600000002</v>
      </c>
      <c r="AB20" s="285">
        <f t="shared" si="17"/>
        <v>-5755.6173600000002</v>
      </c>
      <c r="AC20" s="285">
        <f t="shared" si="18"/>
        <v>-5347.6173600000002</v>
      </c>
      <c r="AD20" s="285">
        <f t="shared" si="19"/>
        <v>-4939.6173600000002</v>
      </c>
      <c r="AE20" s="285">
        <f t="shared" si="20"/>
        <v>-4531.6173600000002</v>
      </c>
      <c r="AF20" s="285">
        <f t="shared" si="21"/>
        <v>-4123.6173600000002</v>
      </c>
      <c r="AG20" s="285">
        <f t="shared" si="22"/>
        <v>-3715.6173600000002</v>
      </c>
    </row>
    <row r="21" spans="2:33" ht="17.25" customHeight="1" x14ac:dyDescent="0.2">
      <c r="B21" s="11" t="s">
        <v>280</v>
      </c>
      <c r="C21" t="s">
        <v>116</v>
      </c>
      <c r="D21" s="53">
        <v>275</v>
      </c>
      <c r="E21" s="54">
        <v>0.38</v>
      </c>
      <c r="F21" s="52">
        <f>D21*E21</f>
        <v>104.5</v>
      </c>
      <c r="G21" s="154"/>
      <c r="I21" s="280">
        <v>0.2</v>
      </c>
      <c r="J21" s="285">
        <f t="shared" si="23"/>
        <v>272</v>
      </c>
      <c r="K21" s="285">
        <f>$J$21*17</f>
        <v>4624</v>
      </c>
      <c r="L21" s="285">
        <f t="shared" si="1"/>
        <v>4896</v>
      </c>
      <c r="M21" s="285">
        <f t="shared" si="2"/>
        <v>5168</v>
      </c>
      <c r="N21" s="286">
        <f t="shared" si="3"/>
        <v>5440</v>
      </c>
      <c r="O21" s="285">
        <f t="shared" si="4"/>
        <v>5712</v>
      </c>
      <c r="P21" s="285">
        <f t="shared" si="5"/>
        <v>5984</v>
      </c>
      <c r="Q21" s="285">
        <f t="shared" si="6"/>
        <v>6256</v>
      </c>
      <c r="R21" s="285">
        <f t="shared" si="24"/>
        <v>11996.61736</v>
      </c>
      <c r="S21" s="285">
        <f t="shared" si="8"/>
        <v>-7372.6173600000002</v>
      </c>
      <c r="T21" s="285">
        <f t="shared" si="9"/>
        <v>-7100.6173600000002</v>
      </c>
      <c r="U21" s="285">
        <f t="shared" si="10"/>
        <v>-6828.6173600000002</v>
      </c>
      <c r="V21" s="285">
        <f t="shared" si="11"/>
        <v>-6556.6173600000002</v>
      </c>
      <c r="W21" s="285">
        <f t="shared" si="12"/>
        <v>-6284.6173600000002</v>
      </c>
      <c r="X21" s="285">
        <f t="shared" si="13"/>
        <v>-6012.6173600000002</v>
      </c>
      <c r="Y21" s="285">
        <f t="shared" si="14"/>
        <v>-5740.6173600000002</v>
      </c>
      <c r="Z21" s="285">
        <f t="shared" si="15"/>
        <v>270</v>
      </c>
      <c r="AA21" s="285">
        <f t="shared" si="16"/>
        <v>-7642.6173600000002</v>
      </c>
      <c r="AB21" s="285">
        <f t="shared" si="17"/>
        <v>-7370.6173600000002</v>
      </c>
      <c r="AC21" s="285">
        <f t="shared" si="18"/>
        <v>-7098.6173600000002</v>
      </c>
      <c r="AD21" s="285">
        <f t="shared" si="19"/>
        <v>-6826.6173600000002</v>
      </c>
      <c r="AE21" s="285">
        <f t="shared" si="20"/>
        <v>-6554.6173600000002</v>
      </c>
      <c r="AF21" s="285">
        <f t="shared" si="21"/>
        <v>-6282.6173600000002</v>
      </c>
      <c r="AG21" s="285">
        <f t="shared" si="22"/>
        <v>-6010.6173600000002</v>
      </c>
    </row>
    <row r="22" spans="2:33" ht="17.25" customHeight="1" x14ac:dyDescent="0.2">
      <c r="B22" s="11" t="s">
        <v>281</v>
      </c>
      <c r="C22" t="s">
        <v>116</v>
      </c>
      <c r="D22" s="53">
        <v>220</v>
      </c>
      <c r="E22" s="54">
        <v>0.33</v>
      </c>
      <c r="F22" s="52">
        <f>D22*E22</f>
        <v>72.600000000000009</v>
      </c>
      <c r="I22" s="280">
        <v>0.1</v>
      </c>
      <c r="J22" s="285">
        <f t="shared" si="23"/>
        <v>136</v>
      </c>
      <c r="K22" s="285">
        <f>$J$22*17</f>
        <v>2312</v>
      </c>
      <c r="L22" s="285">
        <f t="shared" si="1"/>
        <v>2448</v>
      </c>
      <c r="M22" s="285">
        <f t="shared" si="2"/>
        <v>2584</v>
      </c>
      <c r="N22" s="286">
        <f t="shared" si="3"/>
        <v>2720</v>
      </c>
      <c r="O22" s="285">
        <f t="shared" si="4"/>
        <v>2856</v>
      </c>
      <c r="P22" s="285">
        <f t="shared" si="5"/>
        <v>2992</v>
      </c>
      <c r="Q22" s="285">
        <f t="shared" si="6"/>
        <v>3128</v>
      </c>
      <c r="R22" s="285">
        <f t="shared" si="24"/>
        <v>11298.61736</v>
      </c>
      <c r="S22" s="285">
        <f t="shared" si="8"/>
        <v>-8986.6173600000002</v>
      </c>
      <c r="T22" s="285">
        <f t="shared" si="9"/>
        <v>-8850.6173600000002</v>
      </c>
      <c r="U22" s="285">
        <f t="shared" si="10"/>
        <v>-8714.6173600000002</v>
      </c>
      <c r="V22" s="285">
        <f t="shared" si="11"/>
        <v>-8578.6173600000002</v>
      </c>
      <c r="W22" s="285">
        <f t="shared" si="12"/>
        <v>-8442.6173600000002</v>
      </c>
      <c r="X22" s="285">
        <f t="shared" si="13"/>
        <v>-8306.6173600000002</v>
      </c>
      <c r="Y22" s="285">
        <f t="shared" si="14"/>
        <v>-8170.6173600000002</v>
      </c>
      <c r="Z22" s="285">
        <f t="shared" si="15"/>
        <v>135</v>
      </c>
      <c r="AA22" s="285">
        <f t="shared" si="16"/>
        <v>-9121.6173600000002</v>
      </c>
      <c r="AB22" s="285">
        <f t="shared" si="17"/>
        <v>-8985.6173600000002</v>
      </c>
      <c r="AC22" s="285">
        <f t="shared" si="18"/>
        <v>-8849.6173600000002</v>
      </c>
      <c r="AD22" s="285">
        <f t="shared" si="19"/>
        <v>-8713.6173600000002</v>
      </c>
      <c r="AE22" s="285">
        <f t="shared" si="20"/>
        <v>-8577.6173600000002</v>
      </c>
      <c r="AF22" s="285">
        <f t="shared" si="21"/>
        <v>-8441.6173600000002</v>
      </c>
      <c r="AG22" s="285">
        <f t="shared" si="22"/>
        <v>-8305.6173600000002</v>
      </c>
    </row>
    <row r="23" spans="2:33" ht="17.25" customHeight="1" x14ac:dyDescent="0.2">
      <c r="B23" s="11" t="s">
        <v>282</v>
      </c>
      <c r="D23" s="53"/>
      <c r="E23" s="54"/>
      <c r="F23" s="52"/>
      <c r="I23" s="291">
        <v>0</v>
      </c>
      <c r="J23" s="298">
        <f>$J$13*I23</f>
        <v>0</v>
      </c>
      <c r="K23" s="285">
        <f>$J$23*17</f>
        <v>0</v>
      </c>
      <c r="L23" s="285">
        <f t="shared" ref="L23" si="25">J23*18</f>
        <v>0</v>
      </c>
      <c r="M23" s="285">
        <f t="shared" ref="M23" si="26">J23*19</f>
        <v>0</v>
      </c>
      <c r="N23" s="286">
        <f t="shared" ref="N23" si="27">J23*20</f>
        <v>0</v>
      </c>
      <c r="O23" s="285">
        <f t="shared" ref="O23" si="28">J23*21</f>
        <v>0</v>
      </c>
      <c r="P23" s="285">
        <f t="shared" ref="P23" si="29">J23*22</f>
        <v>0</v>
      </c>
      <c r="Q23" s="285">
        <f t="shared" ref="Q23" si="30">J23*23</f>
        <v>0</v>
      </c>
      <c r="R23" s="285">
        <f t="shared" ref="R23" si="31">$F$61-$F$41-$F$42-$F$43-$F$44+($D$41/$D$42*J23*$E$41)+($D$43/$D$42*J23*$E$43)+J23*$E$42+J23*$E$44</f>
        <v>10600.61736</v>
      </c>
      <c r="S23" s="285">
        <f t="shared" ref="S23" si="32">K23-$R23</f>
        <v>-10600.61736</v>
      </c>
      <c r="T23" s="285">
        <f t="shared" ref="T23" si="33">L23-$R23</f>
        <v>-10600.61736</v>
      </c>
      <c r="U23" s="285">
        <f t="shared" ref="U23" si="34">M23-$R23</f>
        <v>-10600.61736</v>
      </c>
      <c r="V23" s="285">
        <f t="shared" ref="V23" si="35">N23-$R23</f>
        <v>-10600.61736</v>
      </c>
      <c r="W23" s="285">
        <f t="shared" ref="W23" si="36">O23-$R23</f>
        <v>-10600.61736</v>
      </c>
      <c r="X23" s="285">
        <f t="shared" ref="X23" si="37">P23-$R23</f>
        <v>-10600.61736</v>
      </c>
      <c r="Y23" s="285">
        <f t="shared" ref="Y23" si="38">Q23-$R23</f>
        <v>-10600.61736</v>
      </c>
      <c r="Z23" s="285">
        <f t="shared" ref="Z23" si="39">$D$65/$D$11*J23*$E$65</f>
        <v>0</v>
      </c>
      <c r="AA23" s="285">
        <f t="shared" ref="AA23" si="40">S23-$Z23</f>
        <v>-10600.61736</v>
      </c>
      <c r="AB23" s="285">
        <f t="shared" ref="AB23" si="41">T23-$Z23</f>
        <v>-10600.61736</v>
      </c>
      <c r="AC23" s="285">
        <f t="shared" ref="AC23" si="42">U23-$Z23</f>
        <v>-10600.61736</v>
      </c>
      <c r="AD23" s="285">
        <f t="shared" ref="AD23" si="43">V23-$Z23</f>
        <v>-10600.61736</v>
      </c>
      <c r="AE23" s="285">
        <f t="shared" ref="AE23" si="44">W23-$Z23</f>
        <v>-10600.61736</v>
      </c>
      <c r="AF23" s="285">
        <f t="shared" ref="AF23" si="45">X23-$Z23</f>
        <v>-10600.61736</v>
      </c>
      <c r="AG23" s="285">
        <f t="shared" ref="AG23" si="46">Y23-$Z23</f>
        <v>-10600.61736</v>
      </c>
    </row>
    <row r="24" spans="2:33" ht="17.25" customHeight="1" x14ac:dyDescent="0.2">
      <c r="B24" s="11" t="s">
        <v>283</v>
      </c>
      <c r="C24" t="s">
        <v>129</v>
      </c>
      <c r="D24" s="53">
        <v>360</v>
      </c>
      <c r="E24" s="54">
        <v>0.54</v>
      </c>
      <c r="F24" s="52">
        <f t="shared" ref="F24:F37" si="47">D24*E24</f>
        <v>194.4</v>
      </c>
      <c r="G24" s="154"/>
    </row>
    <row r="25" spans="2:33" ht="17.25" customHeight="1" x14ac:dyDescent="0.2">
      <c r="B25" t="s">
        <v>284</v>
      </c>
      <c r="C25" t="s">
        <v>285</v>
      </c>
      <c r="D25" s="53">
        <v>35</v>
      </c>
      <c r="E25" s="54">
        <v>98</v>
      </c>
      <c r="F25" s="52">
        <f t="shared" si="47"/>
        <v>3430</v>
      </c>
      <c r="G25" s="155"/>
    </row>
    <row r="26" spans="2:33" ht="17.25" customHeight="1" x14ac:dyDescent="0.2">
      <c r="B26" t="s">
        <v>136</v>
      </c>
      <c r="C26" t="s">
        <v>127</v>
      </c>
      <c r="D26" s="53">
        <v>1</v>
      </c>
      <c r="E26" s="54">
        <v>55.13</v>
      </c>
      <c r="F26" s="52">
        <f t="shared" si="47"/>
        <v>55.13</v>
      </c>
      <c r="G26" s="154"/>
    </row>
    <row r="27" spans="2:33" ht="17.25" customHeight="1" x14ac:dyDescent="0.2">
      <c r="B27" t="s">
        <v>137</v>
      </c>
      <c r="C27" t="s">
        <v>127</v>
      </c>
      <c r="D27" s="53">
        <v>1</v>
      </c>
      <c r="E27" s="54">
        <v>11.75</v>
      </c>
      <c r="F27" s="52">
        <f t="shared" si="47"/>
        <v>11.75</v>
      </c>
      <c r="G27" s="155"/>
    </row>
    <row r="28" spans="2:33" ht="17.25" customHeight="1" x14ac:dyDescent="0.2">
      <c r="B28" t="s">
        <v>138</v>
      </c>
      <c r="C28" t="s">
        <v>127</v>
      </c>
      <c r="D28" s="53">
        <v>1</v>
      </c>
      <c r="E28" s="54">
        <v>294.5</v>
      </c>
      <c r="F28" s="52">
        <f t="shared" si="47"/>
        <v>294.5</v>
      </c>
      <c r="G28" s="155"/>
    </row>
    <row r="29" spans="2:33" ht="17.25" customHeight="1" x14ac:dyDescent="0.2">
      <c r="B29" t="s">
        <v>139</v>
      </c>
      <c r="C29" t="s">
        <v>127</v>
      </c>
      <c r="D29" s="53">
        <v>1</v>
      </c>
      <c r="E29" s="54">
        <v>54.1</v>
      </c>
      <c r="F29" s="52">
        <f t="shared" si="47"/>
        <v>54.1</v>
      </c>
      <c r="G29" s="155"/>
    </row>
    <row r="30" spans="2:33" ht="17.25" customHeight="1" x14ac:dyDescent="0.2">
      <c r="B30" t="s">
        <v>286</v>
      </c>
      <c r="C30" t="s">
        <v>153</v>
      </c>
      <c r="D30" s="53">
        <v>3000</v>
      </c>
      <c r="E30" s="54">
        <v>0.76</v>
      </c>
      <c r="F30" s="52">
        <f t="shared" si="47"/>
        <v>2280</v>
      </c>
      <c r="G30" s="154"/>
    </row>
    <row r="31" spans="2:33" ht="17.25" customHeight="1" x14ac:dyDescent="0.2">
      <c r="B31" t="s">
        <v>287</v>
      </c>
      <c r="C31" t="s">
        <v>142</v>
      </c>
      <c r="D31" s="53">
        <v>2</v>
      </c>
      <c r="E31" s="54">
        <v>25</v>
      </c>
      <c r="F31" s="52">
        <f t="shared" si="47"/>
        <v>50</v>
      </c>
      <c r="G31" s="154"/>
    </row>
    <row r="32" spans="2:33" ht="17.25" customHeight="1" x14ac:dyDescent="0.2">
      <c r="B32" t="s">
        <v>140</v>
      </c>
      <c r="C32" t="s">
        <v>127</v>
      </c>
      <c r="D32" s="53">
        <v>1</v>
      </c>
      <c r="E32" s="54">
        <v>296.63</v>
      </c>
      <c r="F32" s="52">
        <f t="shared" si="47"/>
        <v>296.63</v>
      </c>
      <c r="G32" s="154"/>
    </row>
    <row r="33" spans="1:7" ht="17.25" customHeight="1" x14ac:dyDescent="0.2">
      <c r="B33" t="s">
        <v>141</v>
      </c>
      <c r="C33" t="s">
        <v>142</v>
      </c>
      <c r="D33" s="53">
        <v>2.2000000000000002</v>
      </c>
      <c r="E33" s="54">
        <v>285</v>
      </c>
      <c r="F33" s="52">
        <f t="shared" si="47"/>
        <v>627</v>
      </c>
      <c r="G33" s="154"/>
    </row>
    <row r="34" spans="1:7" ht="17.25" customHeight="1" x14ac:dyDescent="0.2">
      <c r="B34" t="s">
        <v>143</v>
      </c>
      <c r="C34" t="s">
        <v>142</v>
      </c>
      <c r="D34" s="53">
        <v>1.5</v>
      </c>
      <c r="E34" s="54">
        <v>175</v>
      </c>
      <c r="F34" s="52">
        <f t="shared" si="47"/>
        <v>262.5</v>
      </c>
      <c r="G34" s="154"/>
    </row>
    <row r="35" spans="1:7" ht="17.25" customHeight="1" x14ac:dyDescent="0.2">
      <c r="B35" t="s">
        <v>144</v>
      </c>
      <c r="C35" t="s">
        <v>145</v>
      </c>
      <c r="D35" s="53">
        <v>6</v>
      </c>
      <c r="E35" s="54">
        <v>110</v>
      </c>
      <c r="F35" s="52">
        <f t="shared" si="47"/>
        <v>660</v>
      </c>
      <c r="G35" s="154"/>
    </row>
    <row r="36" spans="1:7" ht="17.25" customHeight="1" x14ac:dyDescent="0.2">
      <c r="B36" t="s">
        <v>146</v>
      </c>
      <c r="C36" t="s">
        <v>127</v>
      </c>
      <c r="D36" s="53">
        <v>1</v>
      </c>
      <c r="E36" s="54">
        <v>100</v>
      </c>
      <c r="F36" s="52">
        <f t="shared" si="47"/>
        <v>100</v>
      </c>
      <c r="G36" s="155"/>
    </row>
    <row r="37" spans="1:7" ht="17.25" customHeight="1" x14ac:dyDescent="0.2">
      <c r="B37" t="s">
        <v>147</v>
      </c>
      <c r="C37" t="s">
        <v>127</v>
      </c>
      <c r="D37" s="53">
        <v>1</v>
      </c>
      <c r="E37" s="54">
        <v>0</v>
      </c>
      <c r="F37" s="52">
        <f t="shared" si="47"/>
        <v>0</v>
      </c>
      <c r="G37" s="155"/>
    </row>
    <row r="38" spans="1:7" ht="17.25" customHeight="1" x14ac:dyDescent="0.2">
      <c r="D38" s="53"/>
      <c r="E38" s="70">
        <f>SUM(F16:F37)</f>
        <v>8955.42</v>
      </c>
      <c r="F38" s="52"/>
    </row>
    <row r="39" spans="1:7" ht="17.25" customHeight="1" x14ac:dyDescent="0.2">
      <c r="B39" s="50" t="s">
        <v>148</v>
      </c>
      <c r="D39" s="53"/>
      <c r="E39" s="66"/>
      <c r="F39" s="52"/>
    </row>
    <row r="40" spans="1:7" ht="17.25" customHeight="1" x14ac:dyDescent="0.2">
      <c r="B40" t="s">
        <v>288</v>
      </c>
      <c r="C40" t="s">
        <v>127</v>
      </c>
      <c r="D40" s="53">
        <v>1</v>
      </c>
      <c r="E40" s="70">
        <v>68</v>
      </c>
      <c r="F40" s="52">
        <v>86.98</v>
      </c>
      <c r="G40" s="154"/>
    </row>
    <row r="41" spans="1:7" ht="17.25" customHeight="1" x14ac:dyDescent="0.2">
      <c r="B41" s="156" t="s">
        <v>150</v>
      </c>
      <c r="C41" t="s">
        <v>151</v>
      </c>
      <c r="D41" s="53">
        <v>80</v>
      </c>
      <c r="E41" s="54">
        <v>22</v>
      </c>
      <c r="F41" s="52">
        <f>D41*E41</f>
        <v>1760</v>
      </c>
      <c r="G41" s="155"/>
    </row>
    <row r="42" spans="1:7" ht="17.25" customHeight="1" x14ac:dyDescent="0.2">
      <c r="B42" s="156" t="s">
        <v>152</v>
      </c>
      <c r="C42" t="s">
        <v>153</v>
      </c>
      <c r="D42" s="53">
        <v>1360</v>
      </c>
      <c r="E42" s="54">
        <v>1.25</v>
      </c>
      <c r="F42" s="52">
        <f>D42*E42</f>
        <v>1700</v>
      </c>
      <c r="G42" s="155"/>
    </row>
    <row r="43" spans="1:7" ht="17.25" customHeight="1" x14ac:dyDescent="0.2">
      <c r="B43" s="156" t="s">
        <v>154</v>
      </c>
      <c r="C43" t="s">
        <v>153</v>
      </c>
      <c r="D43" s="53">
        <v>200</v>
      </c>
      <c r="E43" s="54">
        <v>4</v>
      </c>
      <c r="F43" s="52">
        <f>D43*E43</f>
        <v>800</v>
      </c>
      <c r="G43" s="155"/>
    </row>
    <row r="44" spans="1:7" ht="17.25" customHeight="1" x14ac:dyDescent="0.2">
      <c r="B44" s="156" t="s">
        <v>155</v>
      </c>
      <c r="C44" t="s">
        <v>156</v>
      </c>
      <c r="D44" s="53">
        <f>D11</f>
        <v>1360</v>
      </c>
      <c r="E44" s="54">
        <f>0.1*E11</f>
        <v>2</v>
      </c>
      <c r="F44" s="52">
        <f>D44*E44</f>
        <v>2720</v>
      </c>
      <c r="G44" s="155"/>
    </row>
    <row r="45" spans="1:7" ht="17.25" customHeight="1" x14ac:dyDescent="0.2">
      <c r="B45" t="s">
        <v>157</v>
      </c>
      <c r="C45" t="s">
        <v>158</v>
      </c>
      <c r="D45" s="53">
        <f>(SUM(F16:F44)*6/12)</f>
        <v>8011.2</v>
      </c>
      <c r="E45" s="72">
        <v>0.04</v>
      </c>
      <c r="F45" s="52">
        <f>D45*E45</f>
        <v>320.44799999999998</v>
      </c>
      <c r="G45" s="154"/>
    </row>
    <row r="46" spans="1:7" ht="17.25" customHeight="1" x14ac:dyDescent="0.2">
      <c r="D46" s="53"/>
      <c r="E46" s="54"/>
      <c r="F46" s="52"/>
    </row>
    <row r="47" spans="1:7" ht="17.25" customHeight="1" x14ac:dyDescent="0.2">
      <c r="A47" s="50" t="s">
        <v>159</v>
      </c>
      <c r="D47" s="53"/>
      <c r="E47" s="70">
        <f>SUM(F41:F44)</f>
        <v>6980</v>
      </c>
      <c r="F47" s="157">
        <f>SUM(F16:F45)</f>
        <v>16342.848</v>
      </c>
      <c r="G47" s="154"/>
    </row>
    <row r="48" spans="1:7" ht="17.25" customHeight="1" x14ac:dyDescent="0.2">
      <c r="D48" s="53"/>
      <c r="E48" s="54"/>
      <c r="F48" s="52"/>
    </row>
    <row r="49" spans="1:8" ht="17.25" customHeight="1" x14ac:dyDescent="0.2">
      <c r="A49" s="77" t="s">
        <v>160</v>
      </c>
      <c r="B49" s="155"/>
      <c r="C49" s="155"/>
      <c r="D49" s="79"/>
      <c r="E49" s="80"/>
      <c r="F49" s="158">
        <f>F11-F47</f>
        <v>10857.152</v>
      </c>
      <c r="G49" s="155"/>
    </row>
    <row r="50" spans="1:8" ht="17.25" customHeight="1" x14ac:dyDescent="0.2">
      <c r="A50" s="57"/>
      <c r="B50" s="57"/>
      <c r="C50" s="57"/>
      <c r="D50" s="159"/>
      <c r="E50" s="82"/>
      <c r="F50" s="59"/>
      <c r="G50" s="57"/>
    </row>
    <row r="51" spans="1:8" ht="17.25" customHeight="1" x14ac:dyDescent="0.2">
      <c r="A51" t="s">
        <v>162</v>
      </c>
      <c r="D51" s="53"/>
      <c r="E51" s="54"/>
      <c r="F51" s="52"/>
    </row>
    <row r="52" spans="1:8" ht="17.25" customHeight="1" x14ac:dyDescent="0.2">
      <c r="B52" t="s">
        <v>163</v>
      </c>
      <c r="C52" t="s">
        <v>127</v>
      </c>
      <c r="D52" s="53">
        <v>1</v>
      </c>
      <c r="E52" s="54">
        <v>33</v>
      </c>
      <c r="F52" s="52">
        <f>D52*E52</f>
        <v>33</v>
      </c>
      <c r="G52" s="154"/>
    </row>
    <row r="53" spans="1:8" ht="17.25" customHeight="1" x14ac:dyDescent="0.2">
      <c r="B53" t="s">
        <v>164</v>
      </c>
      <c r="C53" t="s">
        <v>158</v>
      </c>
      <c r="D53" s="53">
        <f>F47</f>
        <v>16342.848</v>
      </c>
      <c r="E53" s="72">
        <v>7.0000000000000007E-2</v>
      </c>
      <c r="F53" s="52">
        <f>D53*E53</f>
        <v>1143.99936</v>
      </c>
      <c r="G53" s="154"/>
    </row>
    <row r="54" spans="1:8" ht="17.25" customHeight="1" x14ac:dyDescent="0.2">
      <c r="B54" t="s">
        <v>165</v>
      </c>
      <c r="D54" s="53"/>
      <c r="E54" s="72"/>
      <c r="F54" s="52"/>
      <c r="G54" s="154"/>
    </row>
    <row r="55" spans="1:8" ht="17.25" customHeight="1" x14ac:dyDescent="0.2">
      <c r="B55" t="s">
        <v>166</v>
      </c>
      <c r="C55" t="s">
        <v>127</v>
      </c>
      <c r="D55" s="53">
        <v>1</v>
      </c>
      <c r="E55" s="54">
        <v>60.77</v>
      </c>
      <c r="F55" s="52">
        <f>D55*E55</f>
        <v>60.77</v>
      </c>
      <c r="G55" s="155"/>
    </row>
    <row r="56" spans="1:8" ht="17.25" customHeight="1" x14ac:dyDescent="0.2">
      <c r="B56" t="s">
        <v>167</v>
      </c>
      <c r="D56" s="160"/>
      <c r="E56" s="83"/>
    </row>
    <row r="57" spans="1:8" ht="17.25" customHeight="1" x14ac:dyDescent="0.2">
      <c r="D57" s="53"/>
      <c r="E57" s="54">
        <f>SUM(E52:E55)</f>
        <v>93.84</v>
      </c>
      <c r="F57" s="52"/>
    </row>
    <row r="58" spans="1:8" ht="17.25" customHeight="1" x14ac:dyDescent="0.2">
      <c r="A58" s="50" t="s">
        <v>168</v>
      </c>
      <c r="D58" s="53"/>
      <c r="E58" s="54"/>
      <c r="F58" s="161">
        <f>SUM(F52:F55)</f>
        <v>1237.76936</v>
      </c>
      <c r="G58" s="154"/>
      <c r="H58" s="162"/>
    </row>
    <row r="59" spans="1:8" ht="17.25" customHeight="1" x14ac:dyDescent="0.2">
      <c r="D59" s="53"/>
      <c r="E59" s="54"/>
      <c r="F59" s="52"/>
      <c r="H59" s="162"/>
    </row>
    <row r="60" spans="1:8" ht="17.25" customHeight="1" x14ac:dyDescent="0.2">
      <c r="D60" s="53"/>
      <c r="E60" s="54"/>
      <c r="F60" s="52"/>
      <c r="H60" s="162"/>
    </row>
    <row r="61" spans="1:8" ht="17.25" customHeight="1" x14ac:dyDescent="0.2">
      <c r="A61" s="50" t="s">
        <v>169</v>
      </c>
      <c r="D61" s="53"/>
      <c r="E61" s="54"/>
      <c r="F61" s="157">
        <f>SUM(F47+F58)</f>
        <v>17580.61736</v>
      </c>
      <c r="G61" s="154"/>
      <c r="H61" s="162"/>
    </row>
    <row r="62" spans="1:8" ht="17.25" customHeight="1" x14ac:dyDescent="0.2">
      <c r="D62" s="53"/>
      <c r="E62" s="54"/>
      <c r="F62" s="52"/>
      <c r="H62" s="162"/>
    </row>
    <row r="63" spans="1:8" ht="17.25" customHeight="1" x14ac:dyDescent="0.2">
      <c r="A63" s="198" t="s">
        <v>84</v>
      </c>
      <c r="B63" s="198"/>
      <c r="D63" s="53"/>
      <c r="E63" s="54"/>
      <c r="F63" s="52">
        <f>F11-F61</f>
        <v>9619.3826399999998</v>
      </c>
      <c r="G63" s="154"/>
      <c r="H63" s="162"/>
    </row>
    <row r="64" spans="1:8" ht="17.25" customHeight="1" x14ac:dyDescent="0.2">
      <c r="D64" s="53"/>
      <c r="E64" s="54"/>
      <c r="F64" s="52"/>
      <c r="H64" s="162"/>
    </row>
    <row r="65" spans="1:8" ht="17.25" customHeight="1" x14ac:dyDescent="0.2">
      <c r="A65" t="s">
        <v>170</v>
      </c>
      <c r="C65" t="s">
        <v>151</v>
      </c>
      <c r="D65" s="53">
        <v>90</v>
      </c>
      <c r="E65" s="54">
        <v>15</v>
      </c>
      <c r="F65" s="52">
        <f>D65*E65</f>
        <v>1350</v>
      </c>
      <c r="H65" s="162"/>
    </row>
    <row r="66" spans="1:8" ht="17.25" customHeight="1" x14ac:dyDescent="0.2">
      <c r="D66" s="51"/>
      <c r="E66" s="52"/>
      <c r="F66" s="52"/>
      <c r="H66" s="162"/>
    </row>
    <row r="67" spans="1:8" ht="17.25" customHeight="1" x14ac:dyDescent="0.2">
      <c r="A67" s="77" t="s">
        <v>85</v>
      </c>
      <c r="B67" s="155"/>
      <c r="C67" s="155"/>
      <c r="D67" s="163"/>
      <c r="E67" s="158"/>
      <c r="F67" s="158">
        <f>F63-F65</f>
        <v>8269.3826399999998</v>
      </c>
      <c r="G67" s="155"/>
      <c r="H67" s="162"/>
    </row>
    <row r="68" spans="1:8" ht="17.25" customHeight="1" x14ac:dyDescent="0.2"/>
    <row r="69" spans="1:8" ht="17.25" customHeight="1" x14ac:dyDescent="0.2">
      <c r="A69" s="57"/>
      <c r="B69" s="57"/>
      <c r="C69" s="57"/>
      <c r="D69" s="164"/>
      <c r="E69" s="59"/>
      <c r="F69" s="59"/>
      <c r="G69" s="57"/>
    </row>
    <row r="70" spans="1:8" ht="17.25" customHeight="1" x14ac:dyDescent="0.2">
      <c r="A70" s="199" t="s">
        <v>171</v>
      </c>
      <c r="B70" s="199"/>
    </row>
    <row r="71" spans="1:8" ht="17.25" customHeight="1" x14ac:dyDescent="0.2"/>
    <row r="72" spans="1:8" ht="17.25" customHeight="1" x14ac:dyDescent="0.2"/>
    <row r="73" spans="1:8" ht="17.25" customHeight="1" x14ac:dyDescent="0.2">
      <c r="A73" s="73"/>
    </row>
    <row r="74" spans="1:8" ht="17.25" customHeight="1" x14ac:dyDescent="0.2">
      <c r="B74" s="31"/>
    </row>
    <row r="75" spans="1:8" ht="17.25" customHeight="1" x14ac:dyDescent="0.2"/>
    <row r="76" spans="1:8" ht="17.25" customHeight="1" x14ac:dyDescent="0.2">
      <c r="B76" s="7"/>
      <c r="C76" s="31"/>
    </row>
    <row r="77" spans="1:8" ht="17.25" customHeight="1" x14ac:dyDescent="0.2">
      <c r="C77" s="165"/>
      <c r="D77" s="165"/>
      <c r="E77" s="165"/>
      <c r="F77" s="165"/>
      <c r="G77" s="165"/>
    </row>
    <row r="78" spans="1:8" ht="17.25" customHeight="1" x14ac:dyDescent="0.2">
      <c r="B78" s="166"/>
      <c r="C78" s="52"/>
      <c r="D78" s="52"/>
      <c r="E78" s="52"/>
      <c r="F78" s="52"/>
      <c r="G78" s="52"/>
    </row>
    <row r="79" spans="1:8" ht="17.25" customHeight="1" x14ac:dyDescent="0.2">
      <c r="B79" s="8"/>
      <c r="C79" s="52"/>
      <c r="D79" s="52"/>
      <c r="E79" s="52"/>
      <c r="F79" s="52"/>
      <c r="G79" s="52"/>
    </row>
    <row r="80" spans="1:8" ht="17.25" customHeight="1" x14ac:dyDescent="0.2">
      <c r="B80" s="166"/>
      <c r="C80" s="52"/>
      <c r="D80" s="52"/>
      <c r="E80" s="52"/>
      <c r="F80" s="52"/>
      <c r="G80" s="52"/>
    </row>
    <row r="81" spans="2:33" ht="17.25" customHeight="1" x14ac:dyDescent="0.2">
      <c r="B81" s="8"/>
      <c r="C81" s="52"/>
      <c r="D81" s="52"/>
      <c r="E81" s="52"/>
      <c r="F81" s="52"/>
      <c r="G81" s="52"/>
    </row>
    <row r="82" spans="2:33" ht="17.25" customHeight="1" x14ac:dyDescent="0.2">
      <c r="B82" s="11"/>
      <c r="C82" s="52"/>
      <c r="D82" s="52"/>
      <c r="E82" s="52"/>
      <c r="F82" s="52"/>
      <c r="G82" s="52"/>
    </row>
    <row r="83" spans="2:33" ht="17.25" customHeight="1" x14ac:dyDescent="0.2">
      <c r="B83" s="8"/>
      <c r="C83" s="52"/>
      <c r="D83" s="52"/>
      <c r="E83" s="99"/>
      <c r="F83" s="52"/>
      <c r="G83" s="52"/>
    </row>
    <row r="84" spans="2:33" ht="17.25" customHeight="1" x14ac:dyDescent="0.2">
      <c r="B84" s="166"/>
      <c r="C84" s="52"/>
      <c r="D84" s="52"/>
      <c r="E84" s="52"/>
      <c r="F84" s="52"/>
      <c r="G84" s="52"/>
    </row>
    <row r="85" spans="2:33" ht="17.25" customHeight="1" x14ac:dyDescent="0.2">
      <c r="B85" s="8"/>
      <c r="C85" s="52"/>
      <c r="D85" s="52"/>
      <c r="E85" s="52"/>
      <c r="F85" s="52"/>
      <c r="G85" s="52"/>
    </row>
    <row r="86" spans="2:33" ht="17.25" customHeight="1" x14ac:dyDescent="0.2">
      <c r="B86" s="166"/>
      <c r="C86" s="52"/>
      <c r="D86" s="52"/>
      <c r="E86" s="99"/>
      <c r="F86" s="52"/>
      <c r="G86" s="52"/>
    </row>
    <row r="87" spans="2:33" ht="17.25" customHeight="1" x14ac:dyDescent="0.2">
      <c r="B87" s="8"/>
      <c r="C87" s="52"/>
      <c r="D87" s="52"/>
      <c r="E87" s="52"/>
      <c r="F87" s="52"/>
      <c r="G87" s="52"/>
    </row>
    <row r="88" spans="2:33" ht="17.25" customHeight="1" x14ac:dyDescent="0.2">
      <c r="B88" s="8"/>
      <c r="C88" s="52"/>
      <c r="D88" s="52"/>
      <c r="E88" s="52"/>
      <c r="F88" s="52"/>
      <c r="G88" s="52"/>
    </row>
    <row r="89" spans="2:33" ht="17.25" customHeight="1" x14ac:dyDescent="0.2"/>
    <row r="90" spans="2:33" s="103" customFormat="1" ht="17.25" customHeight="1" x14ac:dyDescent="0.2">
      <c r="D90" s="167"/>
      <c r="E90" s="106"/>
      <c r="F90" s="106"/>
      <c r="H90" s="168"/>
      <c r="I90" s="104"/>
      <c r="J90" s="105"/>
      <c r="K90" s="105"/>
      <c r="L90" s="105"/>
      <c r="M90" s="105"/>
      <c r="N90" s="105"/>
      <c r="O90" s="105"/>
      <c r="P90" s="105"/>
      <c r="Q90" s="105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</row>
    <row r="91" spans="2:33" ht="17.25" customHeight="1" x14ac:dyDescent="0.2"/>
    <row r="92" spans="2:33" ht="17.25" customHeight="1" x14ac:dyDescent="0.2"/>
    <row r="93" spans="2:33" ht="17.25" customHeight="1" x14ac:dyDescent="0.2"/>
    <row r="94" spans="2:33" ht="17.25" customHeight="1" x14ac:dyDescent="0.2"/>
    <row r="95" spans="2:33" ht="17.25" customHeight="1" x14ac:dyDescent="0.2"/>
    <row r="96" spans="2:33" ht="17.25" customHeight="1" x14ac:dyDescent="0.2"/>
    <row r="97" spans="9:31" ht="17.25" customHeight="1" x14ac:dyDescent="0.2"/>
    <row r="98" spans="9:31" ht="17.25" customHeight="1" x14ac:dyDescent="0.2"/>
    <row r="99" spans="9:31" ht="17.25" customHeight="1" x14ac:dyDescent="0.2"/>
    <row r="100" spans="9:31" ht="17.25" customHeight="1" x14ac:dyDescent="0.2"/>
    <row r="101" spans="9:31" ht="17.25" customHeight="1" x14ac:dyDescent="0.2"/>
    <row r="102" spans="9:31" ht="17.25" customHeight="1" x14ac:dyDescent="0.2"/>
    <row r="103" spans="9:31" ht="17.25" customHeight="1" x14ac:dyDescent="0.2"/>
    <row r="104" spans="9:31" ht="17.25" customHeight="1" x14ac:dyDescent="0.2"/>
    <row r="105" spans="9:31" ht="17.25" customHeight="1" x14ac:dyDescent="0.2"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</row>
    <row r="106" spans="9:31" ht="17.25" customHeight="1" x14ac:dyDescent="0.2"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</row>
    <row r="107" spans="9:31" ht="17.25" customHeight="1" x14ac:dyDescent="0.2"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</row>
    <row r="108" spans="9:31" ht="17.25" customHeight="1" x14ac:dyDescent="0.2"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</row>
    <row r="109" spans="9:31" ht="17.25" customHeight="1" x14ac:dyDescent="0.2"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</row>
    <row r="110" spans="9:31" ht="17.25" customHeight="1" x14ac:dyDescent="0.2">
      <c r="I110" s="3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</row>
    <row r="111" spans="9:31" ht="17.25" customHeight="1" x14ac:dyDescent="0.2"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</row>
    <row r="112" spans="9:31" ht="17.25" customHeight="1" x14ac:dyDescent="0.2"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</row>
    <row r="113" spans="11:31" ht="17.25" customHeight="1" x14ac:dyDescent="0.2"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</row>
    <row r="114" spans="11:31" ht="17.25" customHeight="1" x14ac:dyDescent="0.2"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</row>
    <row r="115" spans="11:31" ht="17.25" customHeight="1" x14ac:dyDescent="0.2"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</row>
    <row r="116" spans="11:31" ht="17.25" customHeight="1" x14ac:dyDescent="0.2"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</row>
    <row r="117" spans="11:31" ht="17.25" customHeight="1" x14ac:dyDescent="0.2"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</row>
    <row r="118" spans="11:31" ht="17.25" customHeight="1" x14ac:dyDescent="0.2"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</row>
    <row r="119" spans="11:31" ht="17.25" customHeight="1" x14ac:dyDescent="0.2"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</row>
  </sheetData>
  <mergeCells count="9">
    <mergeCell ref="A6:G6"/>
    <mergeCell ref="A63:B63"/>
    <mergeCell ref="A70:B70"/>
    <mergeCell ref="S1:Y1"/>
    <mergeCell ref="AA1:AG1"/>
    <mergeCell ref="A2:E2"/>
    <mergeCell ref="F2:G2"/>
    <mergeCell ref="B4:G4"/>
    <mergeCell ref="A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AF49"/>
  <sheetViews>
    <sheetView topLeftCell="B1" workbookViewId="0">
      <selection activeCell="J33" sqref="J33"/>
    </sheetView>
  </sheetViews>
  <sheetFormatPr baseColWidth="10" defaultColWidth="8.83203125" defaultRowHeight="15" x14ac:dyDescent="0.2"/>
  <cols>
    <col min="1" max="1" width="4.5" bestFit="1" customWidth="1"/>
    <col min="2" max="2" width="36.6640625" style="107" bestFit="1" customWidth="1"/>
    <col min="3" max="3" width="8" style="108" bestFit="1" customWidth="1"/>
    <col min="4" max="4" width="10.1640625" style="15" bestFit="1" customWidth="1"/>
    <col min="5" max="5" width="8.1640625" style="4" bestFit="1" customWidth="1"/>
    <col min="6" max="6" width="10.6640625" style="13" bestFit="1" customWidth="1"/>
    <col min="7" max="7" width="5.5" bestFit="1" customWidth="1"/>
    <col min="8" max="8" width="17.83203125" style="41" bestFit="1" customWidth="1"/>
    <col min="9" max="9" width="8.1640625" style="13" bestFit="1" customWidth="1"/>
    <col min="10" max="10" width="9.1640625" style="13" bestFit="1" customWidth="1"/>
    <col min="11" max="11" width="9.1640625" style="4" bestFit="1" customWidth="1"/>
    <col min="12" max="12" width="9.1640625" style="13" bestFit="1" customWidth="1"/>
    <col min="13" max="13" width="9.1640625" style="4" bestFit="1" customWidth="1"/>
    <col min="14" max="14" width="9.1640625" style="13" bestFit="1" customWidth="1"/>
    <col min="15" max="15" width="9.1640625" style="4" bestFit="1" customWidth="1"/>
    <col min="16" max="16" width="9.1640625" style="13" bestFit="1" customWidth="1"/>
    <col min="17" max="17" width="10.83203125" style="65" bestFit="1" customWidth="1"/>
    <col min="18" max="24" width="11.5" style="65" bestFit="1" customWidth="1"/>
    <col min="25" max="25" width="13.5" style="65" bestFit="1" customWidth="1"/>
    <col min="26" max="32" width="11.5" style="65" bestFit="1" customWidth="1"/>
  </cols>
  <sheetData>
    <row r="1" spans="2:32" ht="17.25" customHeight="1" x14ac:dyDescent="0.2">
      <c r="H1" s="291"/>
      <c r="I1" s="298"/>
      <c r="J1" s="298"/>
      <c r="K1" s="292"/>
      <c r="L1" s="298"/>
      <c r="M1" s="292"/>
      <c r="N1" s="298"/>
      <c r="O1" s="292"/>
      <c r="P1" s="298"/>
      <c r="Q1" s="293"/>
      <c r="R1" s="283" t="s">
        <v>84</v>
      </c>
      <c r="S1" s="283"/>
      <c r="T1" s="283"/>
      <c r="U1" s="283"/>
      <c r="V1" s="283"/>
      <c r="W1" s="283"/>
      <c r="X1" s="283"/>
      <c r="Y1" s="293"/>
      <c r="Z1" s="283" t="s">
        <v>85</v>
      </c>
      <c r="AA1" s="283"/>
      <c r="AB1" s="283"/>
      <c r="AC1" s="283"/>
      <c r="AD1" s="283"/>
      <c r="AE1" s="283"/>
      <c r="AF1" s="283"/>
    </row>
    <row r="2" spans="2:32" ht="17.25" customHeight="1" x14ac:dyDescent="0.2">
      <c r="B2" s="221" t="s">
        <v>182</v>
      </c>
      <c r="C2" s="222"/>
      <c r="D2" s="222"/>
      <c r="E2" s="223"/>
      <c r="F2" s="224"/>
      <c r="H2" s="299" t="s">
        <v>86</v>
      </c>
      <c r="I2" s="300" t="s">
        <v>87</v>
      </c>
      <c r="J2" s="301" t="s">
        <v>183</v>
      </c>
      <c r="K2" s="302" t="s">
        <v>184</v>
      </c>
      <c r="L2" s="300" t="s">
        <v>185</v>
      </c>
      <c r="M2" s="302" t="s">
        <v>186</v>
      </c>
      <c r="N2" s="300" t="s">
        <v>187</v>
      </c>
      <c r="O2" s="302" t="s">
        <v>188</v>
      </c>
      <c r="P2" s="300" t="s">
        <v>189</v>
      </c>
      <c r="Q2" s="303" t="s">
        <v>95</v>
      </c>
      <c r="R2" s="303" t="s">
        <v>190</v>
      </c>
      <c r="S2" s="303" t="s">
        <v>191</v>
      </c>
      <c r="T2" s="303" t="s">
        <v>192</v>
      </c>
      <c r="U2" s="303" t="s">
        <v>193</v>
      </c>
      <c r="V2" s="303" t="s">
        <v>194</v>
      </c>
      <c r="W2" s="303" t="s">
        <v>195</v>
      </c>
      <c r="X2" s="303" t="s">
        <v>196</v>
      </c>
      <c r="Y2" s="303" t="s">
        <v>103</v>
      </c>
      <c r="Z2" s="303" t="s">
        <v>197</v>
      </c>
      <c r="AA2" s="303" t="s">
        <v>198</v>
      </c>
      <c r="AB2" s="303" t="s">
        <v>199</v>
      </c>
      <c r="AC2" s="303" t="s">
        <v>200</v>
      </c>
      <c r="AD2" s="303" t="s">
        <v>201</v>
      </c>
      <c r="AE2" s="303" t="s">
        <v>202</v>
      </c>
      <c r="AF2" s="303" t="s">
        <v>203</v>
      </c>
    </row>
    <row r="3" spans="2:32" ht="17.25" customHeight="1" x14ac:dyDescent="0.2">
      <c r="B3" s="225"/>
      <c r="C3" s="226"/>
      <c r="D3" s="226"/>
      <c r="E3" s="227"/>
      <c r="F3" s="228"/>
      <c r="H3" s="280">
        <v>2</v>
      </c>
      <c r="I3" s="281">
        <f t="shared" ref="I3:I23" si="0">$C$33*$H3</f>
        <v>6150</v>
      </c>
      <c r="J3" s="281">
        <f t="shared" ref="J3:J23" si="1">$I3*3</f>
        <v>18450</v>
      </c>
      <c r="K3" s="281">
        <f t="shared" ref="K3:K23" si="2">$I3*4</f>
        <v>24600</v>
      </c>
      <c r="L3" s="281">
        <f t="shared" ref="L3:L23" si="3">$I3*5</f>
        <v>30750</v>
      </c>
      <c r="M3" s="281">
        <f t="shared" ref="M3:M23" si="4">$I3*6</f>
        <v>36900</v>
      </c>
      <c r="N3" s="281">
        <f t="shared" ref="N3:N23" si="5">$I3*7</f>
        <v>43050</v>
      </c>
      <c r="O3" s="281">
        <f t="shared" ref="O3:O23" si="6">$I3*8</f>
        <v>49200</v>
      </c>
      <c r="P3" s="281">
        <f t="shared" ref="P3:P23" si="7">$I3*9</f>
        <v>55350</v>
      </c>
      <c r="Q3" s="282">
        <f t="shared" ref="Q3:Q23" si="8">$F$28-$F$19+($E$19/$C$33*$I3*$D$19)+($C$35*$I3)</f>
        <v>20190.49497</v>
      </c>
      <c r="R3" s="282">
        <f t="shared" ref="R3:R23" si="9">J3-$Q3</f>
        <v>-1740.4949699999997</v>
      </c>
      <c r="S3" s="282">
        <f t="shared" ref="S3:S23" si="10">K3-$Q3</f>
        <v>4409.5050300000003</v>
      </c>
      <c r="T3" s="282">
        <f t="shared" ref="T3:T23" si="11">L3-$Q3</f>
        <v>10559.50503</v>
      </c>
      <c r="U3" s="282">
        <f t="shared" ref="U3:U23" si="12">M3-$Q3</f>
        <v>16709.50503</v>
      </c>
      <c r="V3" s="282">
        <f t="shared" ref="V3:V23" si="13">N3-$Q3</f>
        <v>22859.50503</v>
      </c>
      <c r="W3" s="282">
        <f t="shared" ref="W3:W23" si="14">O3-$Q3</f>
        <v>29009.50503</v>
      </c>
      <c r="X3" s="282">
        <f t="shared" ref="X3:X23" si="15">P3-$Q3</f>
        <v>35159.50503</v>
      </c>
      <c r="Y3" s="282">
        <f t="shared" ref="Y3:Y23" si="16">$E$29/$C$33*$I3*$D$29</f>
        <v>2700</v>
      </c>
      <c r="Z3" s="282">
        <f t="shared" ref="Z3:Z23" si="17">R3-$Y3</f>
        <v>-4440.4949699999997</v>
      </c>
      <c r="AA3" s="282">
        <f t="shared" ref="AA3:AA23" si="18">S3-$Y3</f>
        <v>1709.5050300000003</v>
      </c>
      <c r="AB3" s="282">
        <f t="shared" ref="AB3:AB23" si="19">T3-$Y3</f>
        <v>7859.5050300000003</v>
      </c>
      <c r="AC3" s="282">
        <f t="shared" ref="AC3:AC23" si="20">U3-$Y3</f>
        <v>14009.50503</v>
      </c>
      <c r="AD3" s="282">
        <f t="shared" ref="AD3:AD23" si="21">V3-$Y3</f>
        <v>20159.50503</v>
      </c>
      <c r="AE3" s="282">
        <f t="shared" ref="AE3:AE23" si="22">W3-$Y3</f>
        <v>26309.50503</v>
      </c>
      <c r="AF3" s="282">
        <f t="shared" ref="AF3:AF23" si="23">X3-$Y3</f>
        <v>32459.50503</v>
      </c>
    </row>
    <row r="4" spans="2:32" ht="17.25" customHeight="1" x14ac:dyDescent="0.2">
      <c r="B4" s="229"/>
      <c r="C4" s="230"/>
      <c r="D4" s="230"/>
      <c r="E4" s="231"/>
      <c r="F4" s="232"/>
      <c r="H4" s="280">
        <v>1.9</v>
      </c>
      <c r="I4" s="285">
        <f t="shared" si="0"/>
        <v>5842.5</v>
      </c>
      <c r="J4" s="285">
        <f t="shared" si="1"/>
        <v>17527.5</v>
      </c>
      <c r="K4" s="281">
        <f t="shared" si="2"/>
        <v>23370</v>
      </c>
      <c r="L4" s="285">
        <f t="shared" si="3"/>
        <v>29212.5</v>
      </c>
      <c r="M4" s="281">
        <f t="shared" si="4"/>
        <v>35055</v>
      </c>
      <c r="N4" s="285">
        <f t="shared" si="5"/>
        <v>40897.5</v>
      </c>
      <c r="O4" s="281">
        <f t="shared" si="6"/>
        <v>46740</v>
      </c>
      <c r="P4" s="285">
        <f t="shared" si="7"/>
        <v>52582.5</v>
      </c>
      <c r="Q4" s="282">
        <f t="shared" si="8"/>
        <v>19844.849969999996</v>
      </c>
      <c r="R4" s="282">
        <f t="shared" si="9"/>
        <v>-2317.3499699999957</v>
      </c>
      <c r="S4" s="282">
        <f t="shared" si="10"/>
        <v>3525.1500300000043</v>
      </c>
      <c r="T4" s="282">
        <f t="shared" si="11"/>
        <v>9367.6500300000043</v>
      </c>
      <c r="U4" s="282">
        <f t="shared" si="12"/>
        <v>15210.150030000004</v>
      </c>
      <c r="V4" s="282">
        <f t="shared" si="13"/>
        <v>21052.650030000004</v>
      </c>
      <c r="W4" s="282">
        <f t="shared" si="14"/>
        <v>26895.150030000004</v>
      </c>
      <c r="X4" s="282">
        <f t="shared" si="15"/>
        <v>32737.650030000004</v>
      </c>
      <c r="Y4" s="282">
        <f t="shared" si="16"/>
        <v>2565</v>
      </c>
      <c r="Z4" s="282">
        <f t="shared" si="17"/>
        <v>-4882.3499699999957</v>
      </c>
      <c r="AA4" s="282">
        <f t="shared" si="18"/>
        <v>960.15003000000434</v>
      </c>
      <c r="AB4" s="282">
        <f t="shared" si="19"/>
        <v>6802.6500300000043</v>
      </c>
      <c r="AC4" s="282">
        <f t="shared" si="20"/>
        <v>12645.150030000004</v>
      </c>
      <c r="AD4" s="282">
        <f t="shared" si="21"/>
        <v>18487.650030000004</v>
      </c>
      <c r="AE4" s="282">
        <f t="shared" si="22"/>
        <v>24330.150030000004</v>
      </c>
      <c r="AF4" s="282">
        <f t="shared" si="23"/>
        <v>30172.650030000004</v>
      </c>
    </row>
    <row r="5" spans="2:32" ht="17.25" customHeight="1" x14ac:dyDescent="0.2">
      <c r="B5" s="109" t="s">
        <v>204</v>
      </c>
      <c r="C5" s="110" t="s">
        <v>205</v>
      </c>
      <c r="D5" s="110" t="s">
        <v>206</v>
      </c>
      <c r="E5" s="111" t="s">
        <v>207</v>
      </c>
      <c r="F5" s="112" t="s">
        <v>208</v>
      </c>
      <c r="H5" s="280">
        <v>1.8</v>
      </c>
      <c r="I5" s="281">
        <f t="shared" si="0"/>
        <v>5535</v>
      </c>
      <c r="J5" s="281">
        <f t="shared" si="1"/>
        <v>16605</v>
      </c>
      <c r="K5" s="281">
        <f t="shared" si="2"/>
        <v>22140</v>
      </c>
      <c r="L5" s="281">
        <f t="shared" si="3"/>
        <v>27675</v>
      </c>
      <c r="M5" s="281">
        <f t="shared" si="4"/>
        <v>33210</v>
      </c>
      <c r="N5" s="281">
        <f t="shared" si="5"/>
        <v>38745</v>
      </c>
      <c r="O5" s="281">
        <f t="shared" si="6"/>
        <v>44280</v>
      </c>
      <c r="P5" s="281">
        <f t="shared" si="7"/>
        <v>49815</v>
      </c>
      <c r="Q5" s="282">
        <f t="shared" si="8"/>
        <v>19499.204969999999</v>
      </c>
      <c r="R5" s="282">
        <f t="shared" si="9"/>
        <v>-2894.2049699999989</v>
      </c>
      <c r="S5" s="282">
        <f t="shared" si="10"/>
        <v>2640.7950300000011</v>
      </c>
      <c r="T5" s="282">
        <f t="shared" si="11"/>
        <v>8175.7950300000011</v>
      </c>
      <c r="U5" s="282">
        <f t="shared" si="12"/>
        <v>13710.795030000001</v>
      </c>
      <c r="V5" s="282">
        <f t="shared" si="13"/>
        <v>19245.795030000001</v>
      </c>
      <c r="W5" s="282">
        <f t="shared" si="14"/>
        <v>24780.795030000001</v>
      </c>
      <c r="X5" s="282">
        <f t="shared" si="15"/>
        <v>30315.795030000001</v>
      </c>
      <c r="Y5" s="282">
        <f t="shared" si="16"/>
        <v>2430</v>
      </c>
      <c r="Z5" s="282">
        <f t="shared" si="17"/>
        <v>-5324.2049699999989</v>
      </c>
      <c r="AA5" s="282">
        <f t="shared" si="18"/>
        <v>210.79503000000113</v>
      </c>
      <c r="AB5" s="282">
        <f t="shared" si="19"/>
        <v>5745.7950300000011</v>
      </c>
      <c r="AC5" s="282">
        <f t="shared" si="20"/>
        <v>11280.795030000001</v>
      </c>
      <c r="AD5" s="282">
        <f t="shared" si="21"/>
        <v>16815.795030000001</v>
      </c>
      <c r="AE5" s="282">
        <f t="shared" si="22"/>
        <v>22350.795030000001</v>
      </c>
      <c r="AF5" s="282">
        <f t="shared" si="23"/>
        <v>27885.795030000001</v>
      </c>
    </row>
    <row r="6" spans="2:32" ht="17.25" customHeight="1" x14ac:dyDescent="0.2">
      <c r="B6" s="113" t="s">
        <v>209</v>
      </c>
      <c r="C6" s="114" t="s">
        <v>210</v>
      </c>
      <c r="D6" s="114" t="s">
        <v>210</v>
      </c>
      <c r="E6" s="115" t="s">
        <v>210</v>
      </c>
      <c r="F6" s="116" t="s">
        <v>210</v>
      </c>
      <c r="H6" s="280">
        <v>1.7</v>
      </c>
      <c r="I6" s="285">
        <f t="shared" si="0"/>
        <v>5227.5</v>
      </c>
      <c r="J6" s="285">
        <f t="shared" si="1"/>
        <v>15682.5</v>
      </c>
      <c r="K6" s="281">
        <f t="shared" si="2"/>
        <v>20910</v>
      </c>
      <c r="L6" s="285">
        <f t="shared" si="3"/>
        <v>26137.5</v>
      </c>
      <c r="M6" s="281">
        <f t="shared" si="4"/>
        <v>31365</v>
      </c>
      <c r="N6" s="285">
        <f t="shared" si="5"/>
        <v>36592.5</v>
      </c>
      <c r="O6" s="281">
        <f t="shared" si="6"/>
        <v>41820</v>
      </c>
      <c r="P6" s="285">
        <f t="shared" si="7"/>
        <v>47047.5</v>
      </c>
      <c r="Q6" s="282">
        <f t="shared" si="8"/>
        <v>19153.559969999998</v>
      </c>
      <c r="R6" s="282">
        <f t="shared" si="9"/>
        <v>-3471.0599699999984</v>
      </c>
      <c r="S6" s="282">
        <f t="shared" si="10"/>
        <v>1756.4400300000016</v>
      </c>
      <c r="T6" s="282">
        <f t="shared" si="11"/>
        <v>6983.9400300000016</v>
      </c>
      <c r="U6" s="282">
        <f t="shared" si="12"/>
        <v>12211.440030000002</v>
      </c>
      <c r="V6" s="282">
        <f t="shared" si="13"/>
        <v>17438.940030000002</v>
      </c>
      <c r="W6" s="282">
        <f t="shared" si="14"/>
        <v>22666.440030000002</v>
      </c>
      <c r="X6" s="282">
        <f t="shared" si="15"/>
        <v>27893.940030000002</v>
      </c>
      <c r="Y6" s="282">
        <f t="shared" si="16"/>
        <v>2295</v>
      </c>
      <c r="Z6" s="282">
        <f t="shared" si="17"/>
        <v>-5766.0599699999984</v>
      </c>
      <c r="AA6" s="282">
        <f t="shared" si="18"/>
        <v>-538.55996999999843</v>
      </c>
      <c r="AB6" s="282">
        <f t="shared" si="19"/>
        <v>4688.9400300000016</v>
      </c>
      <c r="AC6" s="282">
        <f t="shared" si="20"/>
        <v>9916.4400300000016</v>
      </c>
      <c r="AD6" s="282">
        <f t="shared" si="21"/>
        <v>15143.940030000002</v>
      </c>
      <c r="AE6" s="282">
        <f t="shared" si="22"/>
        <v>20371.440030000002</v>
      </c>
      <c r="AF6" s="282">
        <f t="shared" si="23"/>
        <v>25598.940030000002</v>
      </c>
    </row>
    <row r="7" spans="2:32" ht="17.25" customHeight="1" x14ac:dyDescent="0.2">
      <c r="B7" s="113" t="s">
        <v>211</v>
      </c>
      <c r="C7" s="114" t="s">
        <v>210</v>
      </c>
      <c r="D7" s="114" t="s">
        <v>210</v>
      </c>
      <c r="E7" s="115" t="s">
        <v>210</v>
      </c>
      <c r="F7" s="116" t="s">
        <v>210</v>
      </c>
      <c r="H7" s="280">
        <v>1.6</v>
      </c>
      <c r="I7" s="281">
        <f t="shared" si="0"/>
        <v>4920</v>
      </c>
      <c r="J7" s="281">
        <f t="shared" si="1"/>
        <v>14760</v>
      </c>
      <c r="K7" s="281">
        <f t="shared" si="2"/>
        <v>19680</v>
      </c>
      <c r="L7" s="281">
        <f t="shared" si="3"/>
        <v>24600</v>
      </c>
      <c r="M7" s="281">
        <f t="shared" si="4"/>
        <v>29520</v>
      </c>
      <c r="N7" s="281">
        <f t="shared" si="5"/>
        <v>34440</v>
      </c>
      <c r="O7" s="281">
        <f t="shared" si="6"/>
        <v>39360</v>
      </c>
      <c r="P7" s="281">
        <f t="shared" si="7"/>
        <v>44280</v>
      </c>
      <c r="Q7" s="282">
        <f t="shared" si="8"/>
        <v>18807.914969999998</v>
      </c>
      <c r="R7" s="282">
        <f t="shared" si="9"/>
        <v>-4047.914969999998</v>
      </c>
      <c r="S7" s="282">
        <f t="shared" si="10"/>
        <v>872.08503000000201</v>
      </c>
      <c r="T7" s="282">
        <f t="shared" si="11"/>
        <v>5792.085030000002</v>
      </c>
      <c r="U7" s="282">
        <f t="shared" si="12"/>
        <v>10712.085030000002</v>
      </c>
      <c r="V7" s="282">
        <f t="shared" si="13"/>
        <v>15632.085030000002</v>
      </c>
      <c r="W7" s="282">
        <f t="shared" si="14"/>
        <v>20552.085030000002</v>
      </c>
      <c r="X7" s="282">
        <f t="shared" si="15"/>
        <v>25472.085030000002</v>
      </c>
      <c r="Y7" s="282">
        <f t="shared" si="16"/>
        <v>2160</v>
      </c>
      <c r="Z7" s="282">
        <f t="shared" si="17"/>
        <v>-6207.914969999998</v>
      </c>
      <c r="AA7" s="282">
        <f t="shared" si="18"/>
        <v>-1287.914969999998</v>
      </c>
      <c r="AB7" s="282">
        <f t="shared" si="19"/>
        <v>3632.085030000002</v>
      </c>
      <c r="AC7" s="282">
        <f t="shared" si="20"/>
        <v>8552.085030000002</v>
      </c>
      <c r="AD7" s="282">
        <f t="shared" si="21"/>
        <v>13472.085030000002</v>
      </c>
      <c r="AE7" s="282">
        <f t="shared" si="22"/>
        <v>18392.085030000002</v>
      </c>
      <c r="AF7" s="282">
        <f t="shared" si="23"/>
        <v>23312.085030000002</v>
      </c>
    </row>
    <row r="8" spans="2:32" ht="17.25" customHeight="1" x14ac:dyDescent="0.2">
      <c r="B8" s="113" t="s">
        <v>212</v>
      </c>
      <c r="F8" s="116"/>
      <c r="H8" s="280">
        <v>1.5</v>
      </c>
      <c r="I8" s="285">
        <f t="shared" si="0"/>
        <v>4612.5</v>
      </c>
      <c r="J8" s="285">
        <f t="shared" si="1"/>
        <v>13837.5</v>
      </c>
      <c r="K8" s="281">
        <f t="shared" si="2"/>
        <v>18450</v>
      </c>
      <c r="L8" s="285">
        <f t="shared" si="3"/>
        <v>23062.5</v>
      </c>
      <c r="M8" s="281">
        <f t="shared" si="4"/>
        <v>27675</v>
      </c>
      <c r="N8" s="285">
        <f t="shared" si="5"/>
        <v>32287.5</v>
      </c>
      <c r="O8" s="281">
        <f t="shared" si="6"/>
        <v>36900</v>
      </c>
      <c r="P8" s="285">
        <f t="shared" si="7"/>
        <v>41512.5</v>
      </c>
      <c r="Q8" s="282">
        <f t="shared" si="8"/>
        <v>18462.269969999998</v>
      </c>
      <c r="R8" s="282">
        <f t="shared" si="9"/>
        <v>-4624.7699699999976</v>
      </c>
      <c r="S8" s="282">
        <f t="shared" si="10"/>
        <v>-12.269969999997556</v>
      </c>
      <c r="T8" s="282">
        <f t="shared" si="11"/>
        <v>4600.2300300000024</v>
      </c>
      <c r="U8" s="282">
        <f t="shared" si="12"/>
        <v>9212.7300300000024</v>
      </c>
      <c r="V8" s="282">
        <f t="shared" si="13"/>
        <v>13825.230030000002</v>
      </c>
      <c r="W8" s="282">
        <f t="shared" si="14"/>
        <v>18437.730030000002</v>
      </c>
      <c r="X8" s="282">
        <f t="shared" si="15"/>
        <v>23050.230030000002</v>
      </c>
      <c r="Y8" s="282">
        <f t="shared" si="16"/>
        <v>2025</v>
      </c>
      <c r="Z8" s="282">
        <f t="shared" si="17"/>
        <v>-6649.7699699999976</v>
      </c>
      <c r="AA8" s="282">
        <f t="shared" si="18"/>
        <v>-2037.2699699999976</v>
      </c>
      <c r="AB8" s="282">
        <f t="shared" si="19"/>
        <v>2575.2300300000024</v>
      </c>
      <c r="AC8" s="282">
        <f t="shared" si="20"/>
        <v>7187.7300300000024</v>
      </c>
      <c r="AD8" s="282">
        <f t="shared" si="21"/>
        <v>11800.230030000002</v>
      </c>
      <c r="AE8" s="282">
        <f t="shared" si="22"/>
        <v>16412.730030000002</v>
      </c>
      <c r="AF8" s="282">
        <f t="shared" si="23"/>
        <v>21025.230030000002</v>
      </c>
    </row>
    <row r="9" spans="2:32" ht="17.25" customHeight="1" x14ac:dyDescent="0.2">
      <c r="B9" s="113" t="s">
        <v>213</v>
      </c>
      <c r="C9" s="114" t="s">
        <v>214</v>
      </c>
      <c r="D9" s="114">
        <v>3544</v>
      </c>
      <c r="E9" s="114">
        <v>1</v>
      </c>
      <c r="F9" s="116">
        <f t="shared" ref="F9:F25" si="24">D9*E9</f>
        <v>3544</v>
      </c>
      <c r="H9" s="280">
        <v>1.4</v>
      </c>
      <c r="I9" s="281">
        <f t="shared" si="0"/>
        <v>4305</v>
      </c>
      <c r="J9" s="281">
        <f t="shared" si="1"/>
        <v>12915</v>
      </c>
      <c r="K9" s="281">
        <f t="shared" si="2"/>
        <v>17220</v>
      </c>
      <c r="L9" s="281">
        <f t="shared" si="3"/>
        <v>21525</v>
      </c>
      <c r="M9" s="281">
        <f t="shared" si="4"/>
        <v>25830</v>
      </c>
      <c r="N9" s="281">
        <f t="shared" si="5"/>
        <v>30135</v>
      </c>
      <c r="O9" s="281">
        <f t="shared" si="6"/>
        <v>34440</v>
      </c>
      <c r="P9" s="281">
        <f t="shared" si="7"/>
        <v>38745</v>
      </c>
      <c r="Q9" s="282">
        <f t="shared" si="8"/>
        <v>18116.624969999997</v>
      </c>
      <c r="R9" s="282">
        <f t="shared" si="9"/>
        <v>-5201.6249699999971</v>
      </c>
      <c r="S9" s="282">
        <f t="shared" si="10"/>
        <v>-896.62496999999712</v>
      </c>
      <c r="T9" s="282">
        <f t="shared" si="11"/>
        <v>3408.3750300000029</v>
      </c>
      <c r="U9" s="282">
        <f t="shared" si="12"/>
        <v>7713.3750300000029</v>
      </c>
      <c r="V9" s="282">
        <f t="shared" si="13"/>
        <v>12018.375030000003</v>
      </c>
      <c r="W9" s="282">
        <f t="shared" si="14"/>
        <v>16323.375030000003</v>
      </c>
      <c r="X9" s="282">
        <f t="shared" si="15"/>
        <v>20628.375030000003</v>
      </c>
      <c r="Y9" s="282">
        <f t="shared" si="16"/>
        <v>1890.0000000000002</v>
      </c>
      <c r="Z9" s="282">
        <f t="shared" si="17"/>
        <v>-7091.6249699999971</v>
      </c>
      <c r="AA9" s="282">
        <f t="shared" si="18"/>
        <v>-2786.6249699999971</v>
      </c>
      <c r="AB9" s="282">
        <f t="shared" si="19"/>
        <v>1518.3750300000027</v>
      </c>
      <c r="AC9" s="282">
        <f t="shared" si="20"/>
        <v>5823.3750300000029</v>
      </c>
      <c r="AD9" s="282">
        <f t="shared" si="21"/>
        <v>10128.375030000003</v>
      </c>
      <c r="AE9" s="282">
        <f t="shared" si="22"/>
        <v>14433.375030000003</v>
      </c>
      <c r="AF9" s="282">
        <f t="shared" si="23"/>
        <v>18738.375030000003</v>
      </c>
    </row>
    <row r="10" spans="2:32" ht="17.25" customHeight="1" x14ac:dyDescent="0.2">
      <c r="B10" s="113" t="s">
        <v>215</v>
      </c>
      <c r="C10" s="114" t="s">
        <v>214</v>
      </c>
      <c r="D10" s="114">
        <v>664.47</v>
      </c>
      <c r="E10" s="114">
        <v>1</v>
      </c>
      <c r="F10" s="116">
        <f t="shared" si="24"/>
        <v>664.47</v>
      </c>
      <c r="H10" s="280">
        <v>1.3</v>
      </c>
      <c r="I10" s="285">
        <f t="shared" si="0"/>
        <v>3997.5</v>
      </c>
      <c r="J10" s="285">
        <f t="shared" si="1"/>
        <v>11992.5</v>
      </c>
      <c r="K10" s="281">
        <f t="shared" si="2"/>
        <v>15990</v>
      </c>
      <c r="L10" s="285">
        <f t="shared" si="3"/>
        <v>19987.5</v>
      </c>
      <c r="M10" s="281">
        <f t="shared" si="4"/>
        <v>23985</v>
      </c>
      <c r="N10" s="285">
        <f t="shared" si="5"/>
        <v>27982.5</v>
      </c>
      <c r="O10" s="281">
        <f t="shared" si="6"/>
        <v>31980</v>
      </c>
      <c r="P10" s="285">
        <f t="shared" si="7"/>
        <v>35977.5</v>
      </c>
      <c r="Q10" s="282">
        <f t="shared" si="8"/>
        <v>17770.97997</v>
      </c>
      <c r="R10" s="282">
        <f t="shared" si="9"/>
        <v>-5778.4799700000003</v>
      </c>
      <c r="S10" s="282">
        <f t="shared" si="10"/>
        <v>-1780.9799700000003</v>
      </c>
      <c r="T10" s="282">
        <f t="shared" si="11"/>
        <v>2216.5200299999997</v>
      </c>
      <c r="U10" s="282">
        <f t="shared" si="12"/>
        <v>6214.0200299999997</v>
      </c>
      <c r="V10" s="282">
        <f t="shared" si="13"/>
        <v>10211.52003</v>
      </c>
      <c r="W10" s="282">
        <f t="shared" si="14"/>
        <v>14209.02003</v>
      </c>
      <c r="X10" s="282">
        <f t="shared" si="15"/>
        <v>18206.52003</v>
      </c>
      <c r="Y10" s="282">
        <f t="shared" si="16"/>
        <v>1755</v>
      </c>
      <c r="Z10" s="282">
        <f t="shared" si="17"/>
        <v>-7533.4799700000003</v>
      </c>
      <c r="AA10" s="282">
        <f t="shared" si="18"/>
        <v>-3535.9799700000003</v>
      </c>
      <c r="AB10" s="282">
        <f t="shared" si="19"/>
        <v>461.52002999999968</v>
      </c>
      <c r="AC10" s="282">
        <f t="shared" si="20"/>
        <v>4459.0200299999997</v>
      </c>
      <c r="AD10" s="282">
        <f t="shared" si="21"/>
        <v>8456.5200299999997</v>
      </c>
      <c r="AE10" s="282">
        <f t="shared" si="22"/>
        <v>12454.02003</v>
      </c>
      <c r="AF10" s="282">
        <f t="shared" si="23"/>
        <v>16451.52003</v>
      </c>
    </row>
    <row r="11" spans="2:32" ht="17.25" customHeight="1" x14ac:dyDescent="0.2">
      <c r="B11" s="113" t="s">
        <v>216</v>
      </c>
      <c r="C11" s="114" t="s">
        <v>214</v>
      </c>
      <c r="D11" s="114">
        <v>528.03</v>
      </c>
      <c r="E11" s="114">
        <v>1</v>
      </c>
      <c r="F11" s="116">
        <f t="shared" si="24"/>
        <v>528.03</v>
      </c>
      <c r="H11" s="280">
        <v>1.2</v>
      </c>
      <c r="I11" s="281">
        <f t="shared" si="0"/>
        <v>3690</v>
      </c>
      <c r="J11" s="281">
        <f t="shared" si="1"/>
        <v>11070</v>
      </c>
      <c r="K11" s="281">
        <f t="shared" si="2"/>
        <v>14760</v>
      </c>
      <c r="L11" s="281">
        <f t="shared" si="3"/>
        <v>18450</v>
      </c>
      <c r="M11" s="281">
        <f t="shared" si="4"/>
        <v>22140</v>
      </c>
      <c r="N11" s="281">
        <f t="shared" si="5"/>
        <v>25830</v>
      </c>
      <c r="O11" s="281">
        <f t="shared" si="6"/>
        <v>29520</v>
      </c>
      <c r="P11" s="281">
        <f t="shared" si="7"/>
        <v>33210</v>
      </c>
      <c r="Q11" s="282">
        <f t="shared" si="8"/>
        <v>17425.334969999996</v>
      </c>
      <c r="R11" s="282">
        <f t="shared" si="9"/>
        <v>-6355.3349699999962</v>
      </c>
      <c r="S11" s="282">
        <f t="shared" si="10"/>
        <v>-2665.3349699999962</v>
      </c>
      <c r="T11" s="282">
        <f t="shared" si="11"/>
        <v>1024.6650300000038</v>
      </c>
      <c r="U11" s="282">
        <f t="shared" si="12"/>
        <v>4714.6650300000038</v>
      </c>
      <c r="V11" s="282">
        <f t="shared" si="13"/>
        <v>8404.6650300000038</v>
      </c>
      <c r="W11" s="282">
        <f t="shared" si="14"/>
        <v>12094.665030000004</v>
      </c>
      <c r="X11" s="282">
        <f t="shared" si="15"/>
        <v>15784.665030000004</v>
      </c>
      <c r="Y11" s="282">
        <f t="shared" si="16"/>
        <v>1620</v>
      </c>
      <c r="Z11" s="282">
        <f t="shared" si="17"/>
        <v>-7975.3349699999962</v>
      </c>
      <c r="AA11" s="282">
        <f t="shared" si="18"/>
        <v>-4285.3349699999962</v>
      </c>
      <c r="AB11" s="282">
        <f t="shared" si="19"/>
        <v>-595.33496999999625</v>
      </c>
      <c r="AC11" s="282">
        <f t="shared" si="20"/>
        <v>3094.6650300000038</v>
      </c>
      <c r="AD11" s="282">
        <f t="shared" si="21"/>
        <v>6784.6650300000038</v>
      </c>
      <c r="AE11" s="282">
        <f t="shared" si="22"/>
        <v>10474.665030000004</v>
      </c>
      <c r="AF11" s="282">
        <f t="shared" si="23"/>
        <v>14164.665030000004</v>
      </c>
    </row>
    <row r="12" spans="2:32" ht="17.25" customHeight="1" x14ac:dyDescent="0.2">
      <c r="B12" s="113" t="s">
        <v>217</v>
      </c>
      <c r="C12" s="114" t="s">
        <v>214</v>
      </c>
      <c r="D12" s="114">
        <v>23.72</v>
      </c>
      <c r="E12" s="114">
        <v>1</v>
      </c>
      <c r="F12" s="116">
        <f t="shared" si="24"/>
        <v>23.72</v>
      </c>
      <c r="H12" s="280">
        <v>1.1000000000000001</v>
      </c>
      <c r="I12" s="285">
        <f t="shared" si="0"/>
        <v>3382.5000000000005</v>
      </c>
      <c r="J12" s="285">
        <f t="shared" si="1"/>
        <v>10147.500000000002</v>
      </c>
      <c r="K12" s="285">
        <f t="shared" si="2"/>
        <v>13530.000000000002</v>
      </c>
      <c r="L12" s="285">
        <f t="shared" si="3"/>
        <v>16912.500000000004</v>
      </c>
      <c r="M12" s="285">
        <f t="shared" si="4"/>
        <v>20295.000000000004</v>
      </c>
      <c r="N12" s="285">
        <f t="shared" si="5"/>
        <v>23677.500000000004</v>
      </c>
      <c r="O12" s="285">
        <f t="shared" si="6"/>
        <v>27060.000000000004</v>
      </c>
      <c r="P12" s="285">
        <f t="shared" si="7"/>
        <v>30442.500000000004</v>
      </c>
      <c r="Q12" s="282">
        <f t="shared" si="8"/>
        <v>17079.689969999999</v>
      </c>
      <c r="R12" s="282">
        <f t="shared" si="9"/>
        <v>-6932.1899699999976</v>
      </c>
      <c r="S12" s="282">
        <f t="shared" si="10"/>
        <v>-3549.6899699999976</v>
      </c>
      <c r="T12" s="282">
        <f t="shared" si="11"/>
        <v>-167.18996999999581</v>
      </c>
      <c r="U12" s="282">
        <f t="shared" si="12"/>
        <v>3215.3100300000042</v>
      </c>
      <c r="V12" s="282">
        <f t="shared" si="13"/>
        <v>6597.8100300000042</v>
      </c>
      <c r="W12" s="282">
        <f t="shared" si="14"/>
        <v>9980.3100300000042</v>
      </c>
      <c r="X12" s="282">
        <f t="shared" si="15"/>
        <v>13362.810030000004</v>
      </c>
      <c r="Y12" s="282">
        <f t="shared" si="16"/>
        <v>1485.0000000000002</v>
      </c>
      <c r="Z12" s="282">
        <f t="shared" si="17"/>
        <v>-8417.1899699999976</v>
      </c>
      <c r="AA12" s="282">
        <f t="shared" si="18"/>
        <v>-5034.6899699999976</v>
      </c>
      <c r="AB12" s="282">
        <f t="shared" si="19"/>
        <v>-1652.189969999996</v>
      </c>
      <c r="AC12" s="282">
        <f t="shared" si="20"/>
        <v>1730.310030000004</v>
      </c>
      <c r="AD12" s="282">
        <f t="shared" si="21"/>
        <v>5112.8100300000042</v>
      </c>
      <c r="AE12" s="282">
        <f t="shared" si="22"/>
        <v>8495.3100300000042</v>
      </c>
      <c r="AF12" s="282">
        <f t="shared" si="23"/>
        <v>11877.810030000004</v>
      </c>
    </row>
    <row r="13" spans="2:32" ht="17.25" customHeight="1" x14ac:dyDescent="0.2">
      <c r="B13" s="113" t="s">
        <v>218</v>
      </c>
      <c r="C13" s="114" t="s">
        <v>214</v>
      </c>
      <c r="D13" s="114">
        <v>393.08</v>
      </c>
      <c r="E13" s="114">
        <v>1</v>
      </c>
      <c r="F13" s="116">
        <f t="shared" si="24"/>
        <v>393.08</v>
      </c>
      <c r="H13" s="304">
        <v>1</v>
      </c>
      <c r="I13" s="281">
        <f t="shared" si="0"/>
        <v>3075</v>
      </c>
      <c r="J13" s="281">
        <f t="shared" si="1"/>
        <v>9225</v>
      </c>
      <c r="K13" s="281">
        <f t="shared" si="2"/>
        <v>12300</v>
      </c>
      <c r="L13" s="281">
        <f t="shared" si="3"/>
        <v>15375</v>
      </c>
      <c r="M13" s="288">
        <f t="shared" si="4"/>
        <v>18450</v>
      </c>
      <c r="N13" s="281">
        <f t="shared" si="5"/>
        <v>21525</v>
      </c>
      <c r="O13" s="281">
        <f t="shared" si="6"/>
        <v>24600</v>
      </c>
      <c r="P13" s="281">
        <f t="shared" si="7"/>
        <v>27675</v>
      </c>
      <c r="Q13" s="289">
        <f t="shared" si="8"/>
        <v>16734.044969999999</v>
      </c>
      <c r="R13" s="282">
        <f t="shared" si="9"/>
        <v>-7509.044969999999</v>
      </c>
      <c r="S13" s="282">
        <f t="shared" si="10"/>
        <v>-4434.044969999999</v>
      </c>
      <c r="T13" s="282">
        <f t="shared" si="11"/>
        <v>-1359.044969999999</v>
      </c>
      <c r="U13" s="289">
        <f t="shared" si="12"/>
        <v>1715.955030000001</v>
      </c>
      <c r="V13" s="282">
        <f t="shared" si="13"/>
        <v>4790.955030000001</v>
      </c>
      <c r="W13" s="282">
        <f t="shared" si="14"/>
        <v>7865.955030000001</v>
      </c>
      <c r="X13" s="282">
        <f t="shared" si="15"/>
        <v>10940.955030000001</v>
      </c>
      <c r="Y13" s="289">
        <f t="shared" si="16"/>
        <v>1350</v>
      </c>
      <c r="Z13" s="282">
        <f t="shared" si="17"/>
        <v>-8859.044969999999</v>
      </c>
      <c r="AA13" s="282">
        <f t="shared" si="18"/>
        <v>-5784.044969999999</v>
      </c>
      <c r="AB13" s="282">
        <f t="shared" si="19"/>
        <v>-2709.044969999999</v>
      </c>
      <c r="AC13" s="289">
        <f t="shared" si="20"/>
        <v>365.95503000000099</v>
      </c>
      <c r="AD13" s="282">
        <f t="shared" si="21"/>
        <v>3440.955030000001</v>
      </c>
      <c r="AE13" s="282">
        <f t="shared" si="22"/>
        <v>6515.955030000001</v>
      </c>
      <c r="AF13" s="282">
        <f t="shared" si="23"/>
        <v>9590.955030000001</v>
      </c>
    </row>
    <row r="14" spans="2:32" ht="17.25" customHeight="1" x14ac:dyDescent="0.2">
      <c r="B14" s="113" t="s">
        <v>219</v>
      </c>
      <c r="C14" s="114" t="s">
        <v>214</v>
      </c>
      <c r="D14" s="114">
        <v>2868</v>
      </c>
      <c r="E14" s="114">
        <v>1</v>
      </c>
      <c r="F14" s="116">
        <f t="shared" si="24"/>
        <v>2868</v>
      </c>
      <c r="H14" s="280">
        <v>0.9</v>
      </c>
      <c r="I14" s="285">
        <f t="shared" si="0"/>
        <v>2767.5</v>
      </c>
      <c r="J14" s="285">
        <f t="shared" si="1"/>
        <v>8302.5</v>
      </c>
      <c r="K14" s="281">
        <f t="shared" si="2"/>
        <v>11070</v>
      </c>
      <c r="L14" s="285">
        <f t="shared" si="3"/>
        <v>13837.5</v>
      </c>
      <c r="M14" s="281">
        <f t="shared" si="4"/>
        <v>16605</v>
      </c>
      <c r="N14" s="285">
        <f t="shared" si="5"/>
        <v>19372.5</v>
      </c>
      <c r="O14" s="281">
        <f t="shared" si="6"/>
        <v>22140</v>
      </c>
      <c r="P14" s="285">
        <f t="shared" si="7"/>
        <v>24907.5</v>
      </c>
      <c r="Q14" s="282">
        <f t="shared" si="8"/>
        <v>16388.399969999999</v>
      </c>
      <c r="R14" s="282">
        <f t="shared" si="9"/>
        <v>-8085.8999699999986</v>
      </c>
      <c r="S14" s="282">
        <f t="shared" si="10"/>
        <v>-5318.3999699999986</v>
      </c>
      <c r="T14" s="282">
        <f t="shared" si="11"/>
        <v>-2550.8999699999986</v>
      </c>
      <c r="U14" s="282">
        <f t="shared" si="12"/>
        <v>216.60003000000142</v>
      </c>
      <c r="V14" s="282">
        <f t="shared" si="13"/>
        <v>2984.1000300000014</v>
      </c>
      <c r="W14" s="282">
        <f t="shared" si="14"/>
        <v>5751.6000300000014</v>
      </c>
      <c r="X14" s="282">
        <f t="shared" si="15"/>
        <v>8519.1000300000014</v>
      </c>
      <c r="Y14" s="282">
        <f t="shared" si="16"/>
        <v>1215</v>
      </c>
      <c r="Z14" s="282">
        <f t="shared" si="17"/>
        <v>-9300.8999699999986</v>
      </c>
      <c r="AA14" s="282">
        <f t="shared" si="18"/>
        <v>-6533.3999699999986</v>
      </c>
      <c r="AB14" s="282">
        <f t="shared" si="19"/>
        <v>-3765.8999699999986</v>
      </c>
      <c r="AC14" s="282">
        <f t="shared" si="20"/>
        <v>-998.39996999999858</v>
      </c>
      <c r="AD14" s="282">
        <f t="shared" si="21"/>
        <v>1769.1000300000014</v>
      </c>
      <c r="AE14" s="282">
        <f t="shared" si="22"/>
        <v>4536.6000300000014</v>
      </c>
      <c r="AF14" s="282">
        <f t="shared" si="23"/>
        <v>7304.1000300000014</v>
      </c>
    </row>
    <row r="15" spans="2:32" ht="17.25" customHeight="1" x14ac:dyDescent="0.2">
      <c r="B15" s="113" t="s">
        <v>220</v>
      </c>
      <c r="C15" s="114" t="s">
        <v>214</v>
      </c>
      <c r="D15" s="114">
        <v>429.6</v>
      </c>
      <c r="E15" s="114">
        <v>1</v>
      </c>
      <c r="F15" s="116">
        <f t="shared" si="24"/>
        <v>429.6</v>
      </c>
      <c r="H15" s="280">
        <v>0.8</v>
      </c>
      <c r="I15" s="281">
        <f t="shared" si="0"/>
        <v>2460</v>
      </c>
      <c r="J15" s="281">
        <f t="shared" si="1"/>
        <v>7380</v>
      </c>
      <c r="K15" s="281">
        <f t="shared" si="2"/>
        <v>9840</v>
      </c>
      <c r="L15" s="281">
        <f t="shared" si="3"/>
        <v>12300</v>
      </c>
      <c r="M15" s="281">
        <f t="shared" si="4"/>
        <v>14760</v>
      </c>
      <c r="N15" s="281">
        <f t="shared" si="5"/>
        <v>17220</v>
      </c>
      <c r="O15" s="281">
        <f t="shared" si="6"/>
        <v>19680</v>
      </c>
      <c r="P15" s="281">
        <f t="shared" si="7"/>
        <v>22140</v>
      </c>
      <c r="Q15" s="282">
        <f t="shared" si="8"/>
        <v>16042.754969999998</v>
      </c>
      <c r="R15" s="282">
        <f t="shared" si="9"/>
        <v>-8662.7549699999981</v>
      </c>
      <c r="S15" s="282">
        <f t="shared" si="10"/>
        <v>-6202.7549699999981</v>
      </c>
      <c r="T15" s="282">
        <f t="shared" si="11"/>
        <v>-3742.7549699999981</v>
      </c>
      <c r="U15" s="282">
        <f t="shared" si="12"/>
        <v>-1282.7549699999981</v>
      </c>
      <c r="V15" s="282">
        <f t="shared" si="13"/>
        <v>1177.2450300000019</v>
      </c>
      <c r="W15" s="282">
        <f t="shared" si="14"/>
        <v>3637.2450300000019</v>
      </c>
      <c r="X15" s="282">
        <f t="shared" si="15"/>
        <v>6097.2450300000019</v>
      </c>
      <c r="Y15" s="282">
        <f t="shared" si="16"/>
        <v>1080</v>
      </c>
      <c r="Z15" s="282">
        <f t="shared" si="17"/>
        <v>-9742.7549699999981</v>
      </c>
      <c r="AA15" s="282">
        <f t="shared" si="18"/>
        <v>-7282.7549699999981</v>
      </c>
      <c r="AB15" s="282">
        <f t="shared" si="19"/>
        <v>-4822.7549699999981</v>
      </c>
      <c r="AC15" s="282">
        <f t="shared" si="20"/>
        <v>-2362.7549699999981</v>
      </c>
      <c r="AD15" s="282">
        <f t="shared" si="21"/>
        <v>97.245030000001861</v>
      </c>
      <c r="AE15" s="282">
        <f t="shared" si="22"/>
        <v>2557.2450300000019</v>
      </c>
      <c r="AF15" s="282">
        <f t="shared" si="23"/>
        <v>5017.2450300000019</v>
      </c>
    </row>
    <row r="16" spans="2:32" ht="17.25" customHeight="1" x14ac:dyDescent="0.2">
      <c r="B16" s="113" t="s">
        <v>221</v>
      </c>
      <c r="C16" s="114" t="s">
        <v>214</v>
      </c>
      <c r="D16" s="114">
        <v>280</v>
      </c>
      <c r="E16" s="114">
        <v>1</v>
      </c>
      <c r="F16" s="116">
        <f t="shared" si="24"/>
        <v>280</v>
      </c>
      <c r="H16" s="280">
        <v>0.7</v>
      </c>
      <c r="I16" s="285">
        <f t="shared" si="0"/>
        <v>2152.5</v>
      </c>
      <c r="J16" s="285">
        <f t="shared" si="1"/>
        <v>6457.5</v>
      </c>
      <c r="K16" s="281">
        <f t="shared" si="2"/>
        <v>8610</v>
      </c>
      <c r="L16" s="285">
        <f t="shared" si="3"/>
        <v>10762.5</v>
      </c>
      <c r="M16" s="281">
        <f t="shared" si="4"/>
        <v>12915</v>
      </c>
      <c r="N16" s="285">
        <f t="shared" si="5"/>
        <v>15067.5</v>
      </c>
      <c r="O16" s="281">
        <f t="shared" si="6"/>
        <v>17220</v>
      </c>
      <c r="P16" s="285">
        <f t="shared" si="7"/>
        <v>19372.5</v>
      </c>
      <c r="Q16" s="282">
        <f t="shared" si="8"/>
        <v>15697.109969999998</v>
      </c>
      <c r="R16" s="282">
        <f t="shared" si="9"/>
        <v>-9239.6099699999977</v>
      </c>
      <c r="S16" s="282">
        <f t="shared" si="10"/>
        <v>-7087.1099699999977</v>
      </c>
      <c r="T16" s="282">
        <f t="shared" si="11"/>
        <v>-4934.6099699999977</v>
      </c>
      <c r="U16" s="282">
        <f t="shared" si="12"/>
        <v>-2782.1099699999977</v>
      </c>
      <c r="V16" s="282">
        <f t="shared" si="13"/>
        <v>-629.6099699999977</v>
      </c>
      <c r="W16" s="282">
        <f t="shared" si="14"/>
        <v>1522.8900300000023</v>
      </c>
      <c r="X16" s="282">
        <f t="shared" si="15"/>
        <v>3675.3900300000023</v>
      </c>
      <c r="Y16" s="282">
        <f t="shared" si="16"/>
        <v>945.00000000000011</v>
      </c>
      <c r="Z16" s="282">
        <f t="shared" si="17"/>
        <v>-10184.609969999998</v>
      </c>
      <c r="AA16" s="282">
        <f t="shared" si="18"/>
        <v>-8032.1099699999977</v>
      </c>
      <c r="AB16" s="282">
        <f t="shared" si="19"/>
        <v>-5879.6099699999977</v>
      </c>
      <c r="AC16" s="282">
        <f t="shared" si="20"/>
        <v>-3727.1099699999977</v>
      </c>
      <c r="AD16" s="282">
        <f t="shared" si="21"/>
        <v>-1574.6099699999977</v>
      </c>
      <c r="AE16" s="282">
        <f t="shared" si="22"/>
        <v>577.89003000000218</v>
      </c>
      <c r="AF16" s="282">
        <f t="shared" si="23"/>
        <v>2730.3900300000023</v>
      </c>
    </row>
    <row r="17" spans="2:32" ht="17.25" customHeight="1" x14ac:dyDescent="0.2">
      <c r="B17" s="113" t="s">
        <v>222</v>
      </c>
      <c r="C17" s="114" t="s">
        <v>214</v>
      </c>
      <c r="D17" s="114">
        <v>1308.5</v>
      </c>
      <c r="E17" s="114">
        <v>1</v>
      </c>
      <c r="F17" s="116">
        <f t="shared" si="24"/>
        <v>1308.5</v>
      </c>
      <c r="H17" s="280">
        <v>0.6</v>
      </c>
      <c r="I17" s="281">
        <f t="shared" si="0"/>
        <v>1845</v>
      </c>
      <c r="J17" s="281">
        <f t="shared" si="1"/>
        <v>5535</v>
      </c>
      <c r="K17" s="281">
        <f t="shared" si="2"/>
        <v>7380</v>
      </c>
      <c r="L17" s="281">
        <f t="shared" si="3"/>
        <v>9225</v>
      </c>
      <c r="M17" s="281">
        <f t="shared" si="4"/>
        <v>11070</v>
      </c>
      <c r="N17" s="281">
        <f t="shared" si="5"/>
        <v>12915</v>
      </c>
      <c r="O17" s="281">
        <f t="shared" si="6"/>
        <v>14760</v>
      </c>
      <c r="P17" s="281">
        <f t="shared" si="7"/>
        <v>16605</v>
      </c>
      <c r="Q17" s="282">
        <f t="shared" si="8"/>
        <v>15351.464969999999</v>
      </c>
      <c r="R17" s="282">
        <f t="shared" si="9"/>
        <v>-9816.4649699999991</v>
      </c>
      <c r="S17" s="282">
        <f t="shared" si="10"/>
        <v>-7971.4649699999991</v>
      </c>
      <c r="T17" s="282">
        <f t="shared" si="11"/>
        <v>-6126.4649699999991</v>
      </c>
      <c r="U17" s="282">
        <f t="shared" si="12"/>
        <v>-4281.4649699999991</v>
      </c>
      <c r="V17" s="282">
        <f t="shared" si="13"/>
        <v>-2436.4649699999991</v>
      </c>
      <c r="W17" s="282">
        <f t="shared" si="14"/>
        <v>-591.46496999999908</v>
      </c>
      <c r="X17" s="282">
        <f t="shared" si="15"/>
        <v>1253.5350300000009</v>
      </c>
      <c r="Y17" s="282">
        <f t="shared" si="16"/>
        <v>810</v>
      </c>
      <c r="Z17" s="282">
        <f t="shared" si="17"/>
        <v>-10626.464969999999</v>
      </c>
      <c r="AA17" s="282">
        <f t="shared" si="18"/>
        <v>-8781.4649699999991</v>
      </c>
      <c r="AB17" s="282">
        <f t="shared" si="19"/>
        <v>-6936.4649699999991</v>
      </c>
      <c r="AC17" s="282">
        <f t="shared" si="20"/>
        <v>-5091.4649699999991</v>
      </c>
      <c r="AD17" s="282">
        <f t="shared" si="21"/>
        <v>-3246.4649699999991</v>
      </c>
      <c r="AE17" s="282">
        <f t="shared" si="22"/>
        <v>-1401.4649699999991</v>
      </c>
      <c r="AF17" s="282">
        <f t="shared" si="23"/>
        <v>443.53503000000092</v>
      </c>
    </row>
    <row r="18" spans="2:32" ht="17.25" customHeight="1" x14ac:dyDescent="0.2">
      <c r="B18" s="113" t="s">
        <v>223</v>
      </c>
      <c r="C18" s="114" t="s">
        <v>214</v>
      </c>
      <c r="D18" s="114">
        <v>10.95</v>
      </c>
      <c r="E18" s="114">
        <v>179.2201</v>
      </c>
      <c r="F18" s="116">
        <f t="shared" si="24"/>
        <v>1962.4600949999999</v>
      </c>
      <c r="H18" s="280">
        <v>0.5</v>
      </c>
      <c r="I18" s="285">
        <f t="shared" si="0"/>
        <v>1537.5</v>
      </c>
      <c r="J18" s="285">
        <f t="shared" si="1"/>
        <v>4612.5</v>
      </c>
      <c r="K18" s="281">
        <f t="shared" si="2"/>
        <v>6150</v>
      </c>
      <c r="L18" s="285">
        <f t="shared" si="3"/>
        <v>7687.5</v>
      </c>
      <c r="M18" s="281">
        <f t="shared" si="4"/>
        <v>9225</v>
      </c>
      <c r="N18" s="285">
        <f t="shared" si="5"/>
        <v>10762.5</v>
      </c>
      <c r="O18" s="281">
        <f t="shared" si="6"/>
        <v>12300</v>
      </c>
      <c r="P18" s="285">
        <f t="shared" si="7"/>
        <v>13837.5</v>
      </c>
      <c r="Q18" s="282">
        <f t="shared" si="8"/>
        <v>15005.819969999999</v>
      </c>
      <c r="R18" s="282">
        <f t="shared" si="9"/>
        <v>-10393.319969999999</v>
      </c>
      <c r="S18" s="282">
        <f t="shared" si="10"/>
        <v>-8855.8199699999986</v>
      </c>
      <c r="T18" s="282">
        <f t="shared" si="11"/>
        <v>-7318.3199699999986</v>
      </c>
      <c r="U18" s="282">
        <f t="shared" si="12"/>
        <v>-5780.8199699999986</v>
      </c>
      <c r="V18" s="282">
        <f t="shared" si="13"/>
        <v>-4243.3199699999986</v>
      </c>
      <c r="W18" s="282">
        <f t="shared" si="14"/>
        <v>-2705.8199699999986</v>
      </c>
      <c r="X18" s="282">
        <f t="shared" si="15"/>
        <v>-1168.3199699999986</v>
      </c>
      <c r="Y18" s="282">
        <f t="shared" si="16"/>
        <v>675</v>
      </c>
      <c r="Z18" s="282">
        <f t="shared" si="17"/>
        <v>-11068.319969999999</v>
      </c>
      <c r="AA18" s="282">
        <f t="shared" si="18"/>
        <v>-9530.8199699999986</v>
      </c>
      <c r="AB18" s="282">
        <f t="shared" si="19"/>
        <v>-7993.3199699999986</v>
      </c>
      <c r="AC18" s="282">
        <f t="shared" si="20"/>
        <v>-6455.8199699999986</v>
      </c>
      <c r="AD18" s="282">
        <f t="shared" si="21"/>
        <v>-4918.3199699999986</v>
      </c>
      <c r="AE18" s="282">
        <f t="shared" si="22"/>
        <v>-3380.8199699999986</v>
      </c>
      <c r="AF18" s="282">
        <f t="shared" si="23"/>
        <v>-1843.3199699999986</v>
      </c>
    </row>
    <row r="19" spans="2:32" ht="17.25" customHeight="1" x14ac:dyDescent="0.2">
      <c r="B19" s="117" t="s">
        <v>224</v>
      </c>
      <c r="C19" s="118" t="s">
        <v>214</v>
      </c>
      <c r="D19" s="118">
        <v>10.95</v>
      </c>
      <c r="E19" s="118">
        <v>91</v>
      </c>
      <c r="F19" s="119">
        <f t="shared" si="24"/>
        <v>996.44999999999993</v>
      </c>
      <c r="G19" s="120"/>
      <c r="H19" s="280">
        <v>0.4</v>
      </c>
      <c r="I19" s="281">
        <f t="shared" si="0"/>
        <v>1230</v>
      </c>
      <c r="J19" s="281">
        <f t="shared" si="1"/>
        <v>3690</v>
      </c>
      <c r="K19" s="281">
        <f t="shared" si="2"/>
        <v>4920</v>
      </c>
      <c r="L19" s="281">
        <f t="shared" si="3"/>
        <v>6150</v>
      </c>
      <c r="M19" s="281">
        <f t="shared" si="4"/>
        <v>7380</v>
      </c>
      <c r="N19" s="281">
        <f t="shared" si="5"/>
        <v>8610</v>
      </c>
      <c r="O19" s="281">
        <f t="shared" si="6"/>
        <v>9840</v>
      </c>
      <c r="P19" s="281">
        <f t="shared" si="7"/>
        <v>11070</v>
      </c>
      <c r="Q19" s="282">
        <f t="shared" si="8"/>
        <v>14660.174969999998</v>
      </c>
      <c r="R19" s="282">
        <f t="shared" si="9"/>
        <v>-10970.174969999998</v>
      </c>
      <c r="S19" s="282">
        <f t="shared" si="10"/>
        <v>-9740.1749699999982</v>
      </c>
      <c r="T19" s="282">
        <f t="shared" si="11"/>
        <v>-8510.1749699999982</v>
      </c>
      <c r="U19" s="282">
        <f t="shared" si="12"/>
        <v>-7280.1749699999982</v>
      </c>
      <c r="V19" s="282">
        <f t="shared" si="13"/>
        <v>-6050.1749699999982</v>
      </c>
      <c r="W19" s="282">
        <f t="shared" si="14"/>
        <v>-4820.1749699999982</v>
      </c>
      <c r="X19" s="282">
        <f t="shared" si="15"/>
        <v>-3590.1749699999982</v>
      </c>
      <c r="Y19" s="282">
        <f t="shared" si="16"/>
        <v>540</v>
      </c>
      <c r="Z19" s="282">
        <f t="shared" si="17"/>
        <v>-11510.174969999998</v>
      </c>
      <c r="AA19" s="282">
        <f t="shared" si="18"/>
        <v>-10280.174969999998</v>
      </c>
      <c r="AB19" s="282">
        <f t="shared" si="19"/>
        <v>-9050.1749699999982</v>
      </c>
      <c r="AC19" s="282">
        <f t="shared" si="20"/>
        <v>-7820.1749699999982</v>
      </c>
      <c r="AD19" s="282">
        <f t="shared" si="21"/>
        <v>-6590.1749699999982</v>
      </c>
      <c r="AE19" s="282">
        <f t="shared" si="22"/>
        <v>-5360.1749699999982</v>
      </c>
      <c r="AF19" s="282">
        <f t="shared" si="23"/>
        <v>-4130.1749699999982</v>
      </c>
    </row>
    <row r="20" spans="2:32" ht="17.25" customHeight="1" x14ac:dyDescent="0.2">
      <c r="B20" s="113" t="s">
        <v>225</v>
      </c>
      <c r="C20" s="114" t="s">
        <v>214</v>
      </c>
      <c r="D20" s="114">
        <v>10.95</v>
      </c>
      <c r="E20" s="114">
        <v>3.65</v>
      </c>
      <c r="F20" s="116">
        <f t="shared" si="24"/>
        <v>39.967499999999994</v>
      </c>
      <c r="H20" s="280">
        <v>0.3</v>
      </c>
      <c r="I20" s="285">
        <f t="shared" si="0"/>
        <v>922.5</v>
      </c>
      <c r="J20" s="285">
        <f t="shared" si="1"/>
        <v>2767.5</v>
      </c>
      <c r="K20" s="281">
        <f t="shared" si="2"/>
        <v>3690</v>
      </c>
      <c r="L20" s="285">
        <f t="shared" si="3"/>
        <v>4612.5</v>
      </c>
      <c r="M20" s="281">
        <f t="shared" si="4"/>
        <v>5535</v>
      </c>
      <c r="N20" s="285">
        <f t="shared" si="5"/>
        <v>6457.5</v>
      </c>
      <c r="O20" s="281">
        <f t="shared" si="6"/>
        <v>7380</v>
      </c>
      <c r="P20" s="285">
        <f t="shared" si="7"/>
        <v>8302.5</v>
      </c>
      <c r="Q20" s="282">
        <f t="shared" si="8"/>
        <v>14314.529969999998</v>
      </c>
      <c r="R20" s="282">
        <f t="shared" si="9"/>
        <v>-11547.029969999998</v>
      </c>
      <c r="S20" s="282">
        <f t="shared" si="10"/>
        <v>-10624.529969999998</v>
      </c>
      <c r="T20" s="282">
        <f t="shared" si="11"/>
        <v>-9702.0299699999978</v>
      </c>
      <c r="U20" s="282">
        <f t="shared" si="12"/>
        <v>-8779.5299699999978</v>
      </c>
      <c r="V20" s="282">
        <f t="shared" si="13"/>
        <v>-7857.0299699999978</v>
      </c>
      <c r="W20" s="282">
        <f t="shared" si="14"/>
        <v>-6934.5299699999978</v>
      </c>
      <c r="X20" s="282">
        <f t="shared" si="15"/>
        <v>-6012.0299699999978</v>
      </c>
      <c r="Y20" s="282">
        <f t="shared" si="16"/>
        <v>405</v>
      </c>
      <c r="Z20" s="282">
        <f t="shared" si="17"/>
        <v>-11952.029969999998</v>
      </c>
      <c r="AA20" s="282">
        <f t="shared" si="18"/>
        <v>-11029.529969999998</v>
      </c>
      <c r="AB20" s="282">
        <f t="shared" si="19"/>
        <v>-10107.029969999998</v>
      </c>
      <c r="AC20" s="282">
        <f t="shared" si="20"/>
        <v>-9184.5299699999978</v>
      </c>
      <c r="AD20" s="282">
        <f t="shared" si="21"/>
        <v>-8262.0299699999978</v>
      </c>
      <c r="AE20" s="282">
        <f t="shared" si="22"/>
        <v>-7339.5299699999978</v>
      </c>
      <c r="AF20" s="282">
        <f t="shared" si="23"/>
        <v>-6417.0299699999978</v>
      </c>
    </row>
    <row r="21" spans="2:32" ht="17.25" customHeight="1" x14ac:dyDescent="0.2">
      <c r="B21" s="113" t="s">
        <v>226</v>
      </c>
      <c r="C21" s="114" t="s">
        <v>214</v>
      </c>
      <c r="D21" s="114">
        <v>13.69</v>
      </c>
      <c r="E21" s="114">
        <v>11.718</v>
      </c>
      <c r="F21" s="116">
        <f t="shared" si="24"/>
        <v>160.41942</v>
      </c>
      <c r="H21" s="280">
        <v>0.2</v>
      </c>
      <c r="I21" s="281">
        <f t="shared" si="0"/>
        <v>615</v>
      </c>
      <c r="J21" s="281">
        <f t="shared" si="1"/>
        <v>1845</v>
      </c>
      <c r="K21" s="281">
        <f t="shared" si="2"/>
        <v>2460</v>
      </c>
      <c r="L21" s="281">
        <f t="shared" si="3"/>
        <v>3075</v>
      </c>
      <c r="M21" s="281">
        <f t="shared" si="4"/>
        <v>3690</v>
      </c>
      <c r="N21" s="281">
        <f t="shared" si="5"/>
        <v>4305</v>
      </c>
      <c r="O21" s="281">
        <f t="shared" si="6"/>
        <v>4920</v>
      </c>
      <c r="P21" s="281">
        <f t="shared" si="7"/>
        <v>5535</v>
      </c>
      <c r="Q21" s="282">
        <f t="shared" si="8"/>
        <v>13968.884969999999</v>
      </c>
      <c r="R21" s="282">
        <f t="shared" si="9"/>
        <v>-12123.884969999999</v>
      </c>
      <c r="S21" s="282">
        <f t="shared" si="10"/>
        <v>-11508.884969999999</v>
      </c>
      <c r="T21" s="282">
        <f t="shared" si="11"/>
        <v>-10893.884969999999</v>
      </c>
      <c r="U21" s="282">
        <f t="shared" si="12"/>
        <v>-10278.884969999999</v>
      </c>
      <c r="V21" s="282">
        <f t="shared" si="13"/>
        <v>-9663.8849699999992</v>
      </c>
      <c r="W21" s="282">
        <f t="shared" si="14"/>
        <v>-9048.8849699999992</v>
      </c>
      <c r="X21" s="282">
        <f t="shared" si="15"/>
        <v>-8433.8849699999992</v>
      </c>
      <c r="Y21" s="282">
        <f t="shared" si="16"/>
        <v>270</v>
      </c>
      <c r="Z21" s="282">
        <f t="shared" si="17"/>
        <v>-12393.884969999999</v>
      </c>
      <c r="AA21" s="282">
        <f t="shared" si="18"/>
        <v>-11778.884969999999</v>
      </c>
      <c r="AB21" s="282">
        <f t="shared" si="19"/>
        <v>-11163.884969999999</v>
      </c>
      <c r="AC21" s="282">
        <f t="shared" si="20"/>
        <v>-10548.884969999999</v>
      </c>
      <c r="AD21" s="282">
        <f t="shared" si="21"/>
        <v>-9933.8849699999992</v>
      </c>
      <c r="AE21" s="282">
        <f t="shared" si="22"/>
        <v>-9318.8849699999992</v>
      </c>
      <c r="AF21" s="282">
        <f t="shared" si="23"/>
        <v>-8703.8849699999992</v>
      </c>
    </row>
    <row r="22" spans="2:32" ht="17.25" customHeight="1" x14ac:dyDescent="0.2">
      <c r="B22" s="113" t="s">
        <v>227</v>
      </c>
      <c r="C22" s="114" t="s">
        <v>214</v>
      </c>
      <c r="D22" s="114">
        <v>10.95</v>
      </c>
      <c r="E22" s="114">
        <v>7.9949000000000003</v>
      </c>
      <c r="F22" s="116">
        <f t="shared" si="24"/>
        <v>87.544155000000003</v>
      </c>
      <c r="H22" s="280">
        <v>0.1</v>
      </c>
      <c r="I22" s="285">
        <f t="shared" si="0"/>
        <v>307.5</v>
      </c>
      <c r="J22" s="285">
        <f t="shared" si="1"/>
        <v>922.5</v>
      </c>
      <c r="K22" s="281">
        <f t="shared" si="2"/>
        <v>1230</v>
      </c>
      <c r="L22" s="285">
        <f t="shared" si="3"/>
        <v>1537.5</v>
      </c>
      <c r="M22" s="281">
        <f t="shared" si="4"/>
        <v>1845</v>
      </c>
      <c r="N22" s="285">
        <f t="shared" si="5"/>
        <v>2152.5</v>
      </c>
      <c r="O22" s="281">
        <f t="shared" si="6"/>
        <v>2460</v>
      </c>
      <c r="P22" s="285">
        <f t="shared" si="7"/>
        <v>2767.5</v>
      </c>
      <c r="Q22" s="282">
        <f t="shared" si="8"/>
        <v>13623.239969999999</v>
      </c>
      <c r="R22" s="282">
        <f t="shared" si="9"/>
        <v>-12700.739969999999</v>
      </c>
      <c r="S22" s="282">
        <f t="shared" si="10"/>
        <v>-12393.239969999999</v>
      </c>
      <c r="T22" s="282">
        <f t="shared" si="11"/>
        <v>-12085.739969999999</v>
      </c>
      <c r="U22" s="282">
        <f t="shared" si="12"/>
        <v>-11778.239969999999</v>
      </c>
      <c r="V22" s="282">
        <f t="shared" si="13"/>
        <v>-11470.739969999999</v>
      </c>
      <c r="W22" s="282">
        <f t="shared" si="14"/>
        <v>-11163.239969999999</v>
      </c>
      <c r="X22" s="282">
        <f t="shared" si="15"/>
        <v>-10855.739969999999</v>
      </c>
      <c r="Y22" s="282">
        <f t="shared" si="16"/>
        <v>135</v>
      </c>
      <c r="Z22" s="282">
        <f t="shared" si="17"/>
        <v>-12835.739969999999</v>
      </c>
      <c r="AA22" s="282">
        <f t="shared" si="18"/>
        <v>-12528.239969999999</v>
      </c>
      <c r="AB22" s="282">
        <f t="shared" si="19"/>
        <v>-12220.739969999999</v>
      </c>
      <c r="AC22" s="282">
        <f t="shared" si="20"/>
        <v>-11913.239969999999</v>
      </c>
      <c r="AD22" s="282">
        <f t="shared" si="21"/>
        <v>-11605.739969999999</v>
      </c>
      <c r="AE22" s="282">
        <f t="shared" si="22"/>
        <v>-11298.239969999999</v>
      </c>
      <c r="AF22" s="282">
        <f t="shared" si="23"/>
        <v>-10990.739969999999</v>
      </c>
    </row>
    <row r="23" spans="2:32" ht="17.25" customHeight="1" x14ac:dyDescent="0.2">
      <c r="B23" s="113" t="s">
        <v>228</v>
      </c>
      <c r="C23" s="114" t="s">
        <v>214</v>
      </c>
      <c r="D23" s="114">
        <v>2.7</v>
      </c>
      <c r="E23" s="114">
        <v>39.393999999999998</v>
      </c>
      <c r="F23" s="116">
        <f t="shared" si="24"/>
        <v>106.3638</v>
      </c>
      <c r="H23" s="291">
        <v>0</v>
      </c>
      <c r="I23" s="298">
        <f>$C$33*$H23</f>
        <v>0</v>
      </c>
      <c r="J23" s="298">
        <f t="shared" si="1"/>
        <v>0</v>
      </c>
      <c r="K23" s="292">
        <f t="shared" si="2"/>
        <v>0</v>
      </c>
      <c r="L23" s="298">
        <f t="shared" si="3"/>
        <v>0</v>
      </c>
      <c r="M23" s="292">
        <f t="shared" si="4"/>
        <v>0</v>
      </c>
      <c r="N23" s="298">
        <f t="shared" si="5"/>
        <v>0</v>
      </c>
      <c r="O23" s="292">
        <f t="shared" si="6"/>
        <v>0</v>
      </c>
      <c r="P23" s="298">
        <f t="shared" si="7"/>
        <v>0</v>
      </c>
      <c r="Q23" s="293">
        <f t="shared" si="8"/>
        <v>13277.594969999998</v>
      </c>
      <c r="R23" s="293">
        <f t="shared" si="9"/>
        <v>-13277.594969999998</v>
      </c>
      <c r="S23" s="293">
        <f t="shared" si="10"/>
        <v>-13277.594969999998</v>
      </c>
      <c r="T23" s="293">
        <f t="shared" si="11"/>
        <v>-13277.594969999998</v>
      </c>
      <c r="U23" s="293">
        <f t="shared" si="12"/>
        <v>-13277.594969999998</v>
      </c>
      <c r="V23" s="293">
        <f t="shared" si="13"/>
        <v>-13277.594969999998</v>
      </c>
      <c r="W23" s="293">
        <f t="shared" si="14"/>
        <v>-13277.594969999998</v>
      </c>
      <c r="X23" s="293">
        <f t="shared" si="15"/>
        <v>-13277.594969999998</v>
      </c>
      <c r="Y23" s="293">
        <f t="shared" si="16"/>
        <v>0</v>
      </c>
      <c r="Z23" s="293">
        <f t="shared" si="17"/>
        <v>-13277.594969999998</v>
      </c>
      <c r="AA23" s="293">
        <f t="shared" si="18"/>
        <v>-13277.594969999998</v>
      </c>
      <c r="AB23" s="293">
        <f>T23-$Y23</f>
        <v>-13277.594969999998</v>
      </c>
      <c r="AC23" s="293">
        <f t="shared" si="20"/>
        <v>-13277.594969999998</v>
      </c>
      <c r="AD23" s="293">
        <f t="shared" si="21"/>
        <v>-13277.594969999998</v>
      </c>
      <c r="AE23" s="293">
        <f t="shared" si="22"/>
        <v>-13277.594969999998</v>
      </c>
      <c r="AF23" s="293">
        <f t="shared" si="23"/>
        <v>-13277.594969999998</v>
      </c>
    </row>
    <row r="24" spans="2:32" ht="17.25" customHeight="1" x14ac:dyDescent="0.2">
      <c r="B24" s="113" t="s">
        <v>229</v>
      </c>
      <c r="C24" s="114" t="s">
        <v>214</v>
      </c>
      <c r="D24" s="114">
        <v>28.31</v>
      </c>
      <c r="E24" s="114">
        <v>1</v>
      </c>
      <c r="F24" s="116">
        <f t="shared" si="24"/>
        <v>28.31</v>
      </c>
    </row>
    <row r="25" spans="2:32" ht="17.25" customHeight="1" x14ac:dyDescent="0.2">
      <c r="B25" s="113" t="s">
        <v>230</v>
      </c>
      <c r="C25" s="114" t="s">
        <v>214</v>
      </c>
      <c r="D25" s="114">
        <v>258.06</v>
      </c>
      <c r="E25" s="114">
        <v>1</v>
      </c>
      <c r="F25" s="116">
        <f t="shared" si="24"/>
        <v>258.06</v>
      </c>
    </row>
    <row r="26" spans="2:32" ht="17.25" customHeight="1" x14ac:dyDescent="0.2">
      <c r="B26" s="117" t="s">
        <v>231</v>
      </c>
      <c r="C26" s="118"/>
      <c r="D26" s="118"/>
      <c r="E26" s="121"/>
      <c r="F26" s="119">
        <f>SUM(F9:F25)</f>
        <v>13678.974969999999</v>
      </c>
      <c r="G26" s="120"/>
    </row>
    <row r="27" spans="2:32" ht="17.25" customHeight="1" x14ac:dyDescent="0.2">
      <c r="B27" s="113" t="s">
        <v>232</v>
      </c>
      <c r="F27" s="116">
        <v>595.07000000000005</v>
      </c>
    </row>
    <row r="28" spans="2:32" ht="17.25" customHeight="1" x14ac:dyDescent="0.2">
      <c r="B28" s="233" t="s">
        <v>233</v>
      </c>
      <c r="C28" s="234"/>
      <c r="D28" s="234"/>
      <c r="E28" s="235"/>
      <c r="F28" s="122">
        <f>F26+F27</f>
        <v>14274.044969999999</v>
      </c>
    </row>
    <row r="29" spans="2:32" ht="17.25" customHeight="1" x14ac:dyDescent="0.2">
      <c r="B29" s="123" t="s">
        <v>234</v>
      </c>
      <c r="C29" s="124" t="s">
        <v>235</v>
      </c>
      <c r="D29" s="125">
        <v>15</v>
      </c>
      <c r="E29" s="125">
        <v>90</v>
      </c>
      <c r="F29" s="126">
        <f>E29*D29</f>
        <v>1350</v>
      </c>
    </row>
    <row r="30" spans="2:32" ht="17.25" customHeight="1" x14ac:dyDescent="0.2">
      <c r="B30" s="123" t="s">
        <v>236</v>
      </c>
      <c r="C30" s="124"/>
      <c r="D30" s="124"/>
      <c r="E30" s="125"/>
      <c r="F30" s="126">
        <f>F29+F28</f>
        <v>15624.044969999999</v>
      </c>
    </row>
    <row r="31" spans="2:32" ht="17.25" customHeight="1" x14ac:dyDescent="0.2">
      <c r="B31" s="236" t="s">
        <v>237</v>
      </c>
      <c r="C31" s="237"/>
      <c r="D31" s="237"/>
      <c r="E31" s="238"/>
      <c r="F31" s="239"/>
    </row>
    <row r="32" spans="2:32" ht="17.25" customHeight="1" x14ac:dyDescent="0.2"/>
    <row r="33" spans="2:6" ht="17.25" customHeight="1" x14ac:dyDescent="0.2">
      <c r="B33" s="127" t="s">
        <v>238</v>
      </c>
      <c r="C33" s="128">
        <v>3075</v>
      </c>
    </row>
    <row r="34" spans="2:6" ht="17.25" customHeight="1" x14ac:dyDescent="0.2">
      <c r="B34" s="129" t="s">
        <v>239</v>
      </c>
      <c r="C34" s="130">
        <v>10.95</v>
      </c>
    </row>
    <row r="35" spans="2:6" ht="17.25" customHeight="1" x14ac:dyDescent="0.2">
      <c r="B35" s="129" t="s">
        <v>240</v>
      </c>
      <c r="C35" s="130">
        <v>0.8</v>
      </c>
    </row>
    <row r="36" spans="2:6" ht="17.25" customHeight="1" x14ac:dyDescent="0.2">
      <c r="B36" s="129" t="s">
        <v>241</v>
      </c>
      <c r="C36" s="131">
        <v>3075</v>
      </c>
    </row>
    <row r="37" spans="2:6" ht="15" customHeight="1" x14ac:dyDescent="0.2">
      <c r="B37" s="132" t="s">
        <v>242</v>
      </c>
      <c r="C37" s="133">
        <v>91</v>
      </c>
    </row>
    <row r="38" spans="2:6" ht="15" customHeight="1" x14ac:dyDescent="0.2"/>
    <row r="39" spans="2:6" ht="15" customHeight="1" x14ac:dyDescent="0.2">
      <c r="B39" s="134" t="s">
        <v>243</v>
      </c>
      <c r="C39" s="135"/>
    </row>
    <row r="40" spans="2:6" ht="16" customHeight="1" x14ac:dyDescent="0.2">
      <c r="B40" s="129" t="s">
        <v>244</v>
      </c>
      <c r="C40" s="131">
        <f>C33*6</f>
        <v>18450</v>
      </c>
      <c r="D40" s="217"/>
      <c r="E40" s="218"/>
      <c r="F40" s="136"/>
    </row>
    <row r="41" spans="2:6" ht="15" customHeight="1" x14ac:dyDescent="0.2">
      <c r="B41" s="129" t="s">
        <v>245</v>
      </c>
      <c r="C41" s="130">
        <f>C40-F28-D44</f>
        <v>1715.955030000001</v>
      </c>
      <c r="D41" s="137"/>
      <c r="E41" s="138"/>
      <c r="F41" s="136"/>
    </row>
    <row r="42" spans="2:6" ht="17.25" customHeight="1" x14ac:dyDescent="0.2">
      <c r="B42" s="132" t="s">
        <v>246</v>
      </c>
      <c r="C42" s="139">
        <f>C41-F29</f>
        <v>365.95503000000099</v>
      </c>
    </row>
    <row r="43" spans="2:6" ht="17.25" customHeight="1" x14ac:dyDescent="0.2"/>
    <row r="44" spans="2:6" ht="17.25" customHeight="1" x14ac:dyDescent="0.2">
      <c r="B44" s="219" t="s">
        <v>247</v>
      </c>
      <c r="C44" s="220"/>
      <c r="D44" s="140">
        <f>$C$33*$C$35</f>
        <v>2460</v>
      </c>
    </row>
    <row r="45" spans="2:6" ht="17.25" customHeight="1" x14ac:dyDescent="0.2">
      <c r="B45" s="213" t="s">
        <v>248</v>
      </c>
      <c r="C45" s="214"/>
      <c r="D45" s="141">
        <f>D44+F28</f>
        <v>16734.044969999999</v>
      </c>
    </row>
    <row r="46" spans="2:6" ht="17.25" customHeight="1" x14ac:dyDescent="0.2">
      <c r="B46" s="213" t="s">
        <v>249</v>
      </c>
      <c r="C46" s="214"/>
      <c r="D46" s="141">
        <f>D45+F29</f>
        <v>18084.044969999999</v>
      </c>
    </row>
    <row r="47" spans="2:6" ht="17.25" customHeight="1" x14ac:dyDescent="0.2">
      <c r="B47" s="213" t="s">
        <v>250</v>
      </c>
      <c r="C47" s="214"/>
      <c r="D47" s="142">
        <f>D46-D44</f>
        <v>15624.044969999999</v>
      </c>
    </row>
    <row r="48" spans="2:6" ht="17.25" customHeight="1" x14ac:dyDescent="0.2">
      <c r="B48" s="213" t="s">
        <v>251</v>
      </c>
      <c r="C48" s="214"/>
      <c r="D48" s="143"/>
    </row>
    <row r="49" spans="2:4" ht="17.25" customHeight="1" x14ac:dyDescent="0.2">
      <c r="B49" s="215" t="s">
        <v>252</v>
      </c>
      <c r="C49" s="216"/>
      <c r="D49" s="144"/>
    </row>
  </sheetData>
  <mergeCells count="12">
    <mergeCell ref="R1:X1"/>
    <mergeCell ref="Z1:AF1"/>
    <mergeCell ref="B2:F4"/>
    <mergeCell ref="B28:E28"/>
    <mergeCell ref="B31:F31"/>
    <mergeCell ref="B48:C48"/>
    <mergeCell ref="B49:C49"/>
    <mergeCell ref="D40:E40"/>
    <mergeCell ref="B44:C44"/>
    <mergeCell ref="B45:C45"/>
    <mergeCell ref="B46:C46"/>
    <mergeCell ref="B47:C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G87"/>
  <sheetViews>
    <sheetView topLeftCell="G1" workbookViewId="0">
      <selection activeCell="G1" sqref="A1:XFD1048576"/>
    </sheetView>
  </sheetViews>
  <sheetFormatPr baseColWidth="10" defaultColWidth="8.83203125" defaultRowHeight="15" x14ac:dyDescent="0.2"/>
  <cols>
    <col min="1" max="1" width="29.5" style="10" bestFit="1" customWidth="1"/>
    <col min="2" max="2" width="36.33203125" style="45" bestFit="1" customWidth="1"/>
    <col min="3" max="5" width="9.6640625" style="46" bestFit="1" customWidth="1"/>
    <col min="6" max="6" width="13.1640625" style="46" bestFit="1" customWidth="1"/>
    <col min="7" max="7" width="10.6640625" style="46" bestFit="1" customWidth="1"/>
    <col min="8" max="8" width="12.5" style="10" bestFit="1" customWidth="1"/>
    <col min="9" max="9" width="15.33203125" style="41" bestFit="1" customWidth="1"/>
    <col min="10" max="10" width="5.6640625" style="4" bestFit="1" customWidth="1"/>
    <col min="11" max="17" width="6.6640625" style="4" bestFit="1" customWidth="1"/>
    <col min="18" max="25" width="10.6640625" style="65" bestFit="1" customWidth="1"/>
    <col min="26" max="26" width="11.83203125" style="65" bestFit="1" customWidth="1"/>
    <col min="27" max="28" width="10.1640625" style="65" bestFit="1" customWidth="1"/>
    <col min="29" max="33" width="10.6640625" style="65" bestFit="1" customWidth="1"/>
  </cols>
  <sheetData>
    <row r="1" spans="1:33" ht="17.25" customHeight="1" x14ac:dyDescent="0.2">
      <c r="A1" s="10" t="s">
        <v>82</v>
      </c>
      <c r="F1" s="46" t="s">
        <v>83</v>
      </c>
      <c r="I1" s="280"/>
      <c r="J1" s="281"/>
      <c r="K1" s="281"/>
      <c r="L1" s="281"/>
      <c r="M1" s="281"/>
      <c r="N1" s="281"/>
      <c r="O1" s="281"/>
      <c r="P1" s="281"/>
      <c r="Q1" s="281"/>
      <c r="R1" s="282"/>
      <c r="S1" s="283" t="s">
        <v>84</v>
      </c>
      <c r="T1" s="283"/>
      <c r="U1" s="283"/>
      <c r="V1" s="283"/>
      <c r="W1" s="283"/>
      <c r="X1" s="283"/>
      <c r="Y1" s="283"/>
      <c r="Z1" s="282"/>
      <c r="AA1" s="283" t="s">
        <v>85</v>
      </c>
      <c r="AB1" s="283"/>
      <c r="AC1" s="283"/>
      <c r="AD1" s="283"/>
      <c r="AE1" s="283"/>
      <c r="AF1" s="283"/>
      <c r="AG1" s="283"/>
    </row>
    <row r="2" spans="1:33" ht="17.25" customHeight="1" x14ac:dyDescent="0.2">
      <c r="I2" s="299" t="s">
        <v>86</v>
      </c>
      <c r="J2" s="302" t="s">
        <v>87</v>
      </c>
      <c r="K2" s="305" t="s">
        <v>88</v>
      </c>
      <c r="L2" s="302" t="s">
        <v>89</v>
      </c>
      <c r="M2" s="302" t="s">
        <v>90</v>
      </c>
      <c r="N2" s="302" t="s">
        <v>91</v>
      </c>
      <c r="O2" s="302" t="s">
        <v>92</v>
      </c>
      <c r="P2" s="302" t="s">
        <v>93</v>
      </c>
      <c r="Q2" s="302" t="s">
        <v>94</v>
      </c>
      <c r="R2" s="303" t="s">
        <v>95</v>
      </c>
      <c r="S2" s="303" t="s">
        <v>96</v>
      </c>
      <c r="T2" s="303" t="s">
        <v>97</v>
      </c>
      <c r="U2" s="303" t="s">
        <v>98</v>
      </c>
      <c r="V2" s="303" t="s">
        <v>99</v>
      </c>
      <c r="W2" s="303" t="s">
        <v>100</v>
      </c>
      <c r="X2" s="303" t="s">
        <v>101</v>
      </c>
      <c r="Y2" s="303" t="s">
        <v>102</v>
      </c>
      <c r="Z2" s="303" t="s">
        <v>103</v>
      </c>
      <c r="AA2" s="303" t="s">
        <v>104</v>
      </c>
      <c r="AB2" s="303" t="s">
        <v>105</v>
      </c>
      <c r="AC2" s="303" t="s">
        <v>106</v>
      </c>
      <c r="AD2" s="303" t="s">
        <v>107</v>
      </c>
      <c r="AE2" s="303" t="s">
        <v>108</v>
      </c>
      <c r="AF2" s="303" t="s">
        <v>109</v>
      </c>
      <c r="AG2" s="303" t="s">
        <v>110</v>
      </c>
    </row>
    <row r="3" spans="1:33" ht="17.25" customHeight="1" x14ac:dyDescent="0.2">
      <c r="A3" s="31" t="s">
        <v>111</v>
      </c>
      <c r="B3" s="45" t="s">
        <v>112</v>
      </c>
      <c r="I3" s="280">
        <v>2</v>
      </c>
      <c r="J3" s="281">
        <f t="shared" ref="J3:J12" si="0">$J$13*I3</f>
        <v>2180</v>
      </c>
      <c r="K3" s="281">
        <f t="shared" ref="K3:K23" si="1">$J3*11</f>
        <v>23980</v>
      </c>
      <c r="L3" s="281">
        <f t="shared" ref="L3:L23" si="2">$J3*12</f>
        <v>26160</v>
      </c>
      <c r="M3" s="281">
        <f t="shared" ref="M3:M23" si="3">$J3*13</f>
        <v>28340</v>
      </c>
      <c r="N3" s="281">
        <f t="shared" ref="N3:N23" si="4">$J3*14</f>
        <v>30520</v>
      </c>
      <c r="O3" s="281">
        <f t="shared" ref="O3:O23" si="5">$J3*15</f>
        <v>32700</v>
      </c>
      <c r="P3" s="281">
        <f t="shared" ref="P3:P23" si="6">$J3*16</f>
        <v>34880</v>
      </c>
      <c r="Q3" s="281">
        <f t="shared" ref="Q3:Q23" si="7">$J3*17</f>
        <v>37060</v>
      </c>
      <c r="R3" s="282">
        <f t="shared" ref="R3:R23" si="8">$F$55-$F$35-$F$36-$F$37-$F$38+($D$35/$D$10*J3*$E$35)+($D$36/$D$10*J3*$E$36)+($D$37/$D$10*J3*$E$37)+($D$38/$D$10*J3*$E$38)</f>
        <v>13670.88298</v>
      </c>
      <c r="S3" s="282">
        <f t="shared" ref="S3:S23" si="9">K3-$R3</f>
        <v>10309.11702</v>
      </c>
      <c r="T3" s="282">
        <f t="shared" ref="T3:T23" si="10">L3-$R3</f>
        <v>12489.11702</v>
      </c>
      <c r="U3" s="282">
        <f t="shared" ref="U3:U23" si="11">M3-$R3</f>
        <v>14669.11702</v>
      </c>
      <c r="V3" s="282">
        <f t="shared" ref="V3:V23" si="12">N3-$R3</f>
        <v>16849.117019999998</v>
      </c>
      <c r="W3" s="282">
        <f t="shared" ref="W3:W23" si="13">O3-$R3</f>
        <v>19029.117019999998</v>
      </c>
      <c r="X3" s="282">
        <f t="shared" ref="X3:X23" si="14">P3-$R3</f>
        <v>21209.117019999998</v>
      </c>
      <c r="Y3" s="282">
        <f t="shared" ref="Y3:Y23" si="15">Q3-$R3</f>
        <v>23389.117019999998</v>
      </c>
      <c r="Z3" s="282">
        <f t="shared" ref="Z3:Z23" si="16">$D$59/$D$10*J3*$E$59</f>
        <v>2700</v>
      </c>
      <c r="AA3" s="282">
        <f t="shared" ref="AA3:AA23" si="17">S3-$Z3</f>
        <v>7609.1170199999997</v>
      </c>
      <c r="AB3" s="282">
        <f t="shared" ref="AB3:AB23" si="18">T3-$Z3</f>
        <v>9789.1170199999997</v>
      </c>
      <c r="AC3" s="282">
        <f t="shared" ref="AC3:AC23" si="19">U3-$Z3</f>
        <v>11969.11702</v>
      </c>
      <c r="AD3" s="282">
        <f t="shared" ref="AD3:AD23" si="20">V3-$Z3</f>
        <v>14149.117019999998</v>
      </c>
      <c r="AE3" s="282">
        <f t="shared" ref="AE3:AE23" si="21">W3-$Z3</f>
        <v>16329.117019999998</v>
      </c>
      <c r="AF3" s="282">
        <f t="shared" ref="AF3:AF23" si="22">X3-$Z3</f>
        <v>18509.117019999998</v>
      </c>
      <c r="AG3" s="282">
        <f t="shared" ref="AG3:AG23" si="23">Y3-$Z3</f>
        <v>20689.117019999998</v>
      </c>
    </row>
    <row r="4" spans="1:33" ht="17.25" customHeight="1" x14ac:dyDescent="0.2">
      <c r="A4" s="209" t="s">
        <v>113</v>
      </c>
      <c r="B4" s="256"/>
      <c r="I4" s="280">
        <v>1.9</v>
      </c>
      <c r="J4" s="281">
        <f t="shared" si="0"/>
        <v>2071</v>
      </c>
      <c r="K4" s="281">
        <f t="shared" si="1"/>
        <v>22781</v>
      </c>
      <c r="L4" s="281">
        <f t="shared" si="2"/>
        <v>24852</v>
      </c>
      <c r="M4" s="281">
        <f t="shared" si="3"/>
        <v>26923</v>
      </c>
      <c r="N4" s="281">
        <f t="shared" si="4"/>
        <v>28994</v>
      </c>
      <c r="O4" s="281">
        <f t="shared" si="5"/>
        <v>31065</v>
      </c>
      <c r="P4" s="281">
        <f t="shared" si="6"/>
        <v>33136</v>
      </c>
      <c r="Q4" s="281">
        <f t="shared" si="7"/>
        <v>35207</v>
      </c>
      <c r="R4" s="282">
        <f t="shared" si="8"/>
        <v>13173.63298</v>
      </c>
      <c r="S4" s="282">
        <f t="shared" si="9"/>
        <v>9607.3670199999997</v>
      </c>
      <c r="T4" s="282">
        <f t="shared" si="10"/>
        <v>11678.36702</v>
      </c>
      <c r="U4" s="282">
        <f t="shared" si="11"/>
        <v>13749.36702</v>
      </c>
      <c r="V4" s="282">
        <f t="shared" si="12"/>
        <v>15820.36702</v>
      </c>
      <c r="W4" s="282">
        <f t="shared" si="13"/>
        <v>17891.367019999998</v>
      </c>
      <c r="X4" s="282">
        <f t="shared" si="14"/>
        <v>19962.367019999998</v>
      </c>
      <c r="Y4" s="282">
        <f t="shared" si="15"/>
        <v>22033.367019999998</v>
      </c>
      <c r="Z4" s="282">
        <f t="shared" si="16"/>
        <v>2565</v>
      </c>
      <c r="AA4" s="282">
        <f t="shared" si="17"/>
        <v>7042.3670199999997</v>
      </c>
      <c r="AB4" s="282">
        <f t="shared" si="18"/>
        <v>9113.3670199999997</v>
      </c>
      <c r="AC4" s="282">
        <f t="shared" si="19"/>
        <v>11184.36702</v>
      </c>
      <c r="AD4" s="282">
        <f t="shared" si="20"/>
        <v>13255.36702</v>
      </c>
      <c r="AE4" s="282">
        <f t="shared" si="21"/>
        <v>15326.367019999998</v>
      </c>
      <c r="AF4" s="282">
        <f t="shared" si="22"/>
        <v>17397.367019999998</v>
      </c>
      <c r="AG4" s="282">
        <f t="shared" si="23"/>
        <v>19468.367019999998</v>
      </c>
    </row>
    <row r="5" spans="1:33" ht="17.25" customHeight="1" x14ac:dyDescent="0.2">
      <c r="A5" s="199" t="s">
        <v>114</v>
      </c>
      <c r="B5" s="245"/>
      <c r="I5" s="280">
        <v>1.8</v>
      </c>
      <c r="J5" s="281">
        <f t="shared" si="0"/>
        <v>1962</v>
      </c>
      <c r="K5" s="281">
        <f t="shared" si="1"/>
        <v>21582</v>
      </c>
      <c r="L5" s="281">
        <f t="shared" si="2"/>
        <v>23544</v>
      </c>
      <c r="M5" s="281">
        <f t="shared" si="3"/>
        <v>25506</v>
      </c>
      <c r="N5" s="281">
        <f t="shared" si="4"/>
        <v>27468</v>
      </c>
      <c r="O5" s="281">
        <f t="shared" si="5"/>
        <v>29430</v>
      </c>
      <c r="P5" s="281">
        <f t="shared" si="6"/>
        <v>31392</v>
      </c>
      <c r="Q5" s="281">
        <f t="shared" si="7"/>
        <v>33354</v>
      </c>
      <c r="R5" s="282">
        <f t="shared" si="8"/>
        <v>12676.382980000002</v>
      </c>
      <c r="S5" s="282">
        <f t="shared" si="9"/>
        <v>8905.6170199999979</v>
      </c>
      <c r="T5" s="282">
        <f t="shared" si="10"/>
        <v>10867.617019999998</v>
      </c>
      <c r="U5" s="282">
        <f t="shared" si="11"/>
        <v>12829.617019999998</v>
      </c>
      <c r="V5" s="282">
        <f t="shared" si="12"/>
        <v>14791.617019999998</v>
      </c>
      <c r="W5" s="282">
        <f t="shared" si="13"/>
        <v>16753.617019999998</v>
      </c>
      <c r="X5" s="282">
        <f t="shared" si="14"/>
        <v>18715.617019999998</v>
      </c>
      <c r="Y5" s="282">
        <f t="shared" si="15"/>
        <v>20677.617019999998</v>
      </c>
      <c r="Z5" s="282">
        <f t="shared" si="16"/>
        <v>2430</v>
      </c>
      <c r="AA5" s="282">
        <f t="shared" si="17"/>
        <v>6475.6170199999979</v>
      </c>
      <c r="AB5" s="282">
        <f t="shared" si="18"/>
        <v>8437.6170199999979</v>
      </c>
      <c r="AC5" s="282">
        <f t="shared" si="19"/>
        <v>10399.617019999998</v>
      </c>
      <c r="AD5" s="282">
        <f t="shared" si="20"/>
        <v>12361.617019999998</v>
      </c>
      <c r="AE5" s="282">
        <f t="shared" si="21"/>
        <v>14323.617019999998</v>
      </c>
      <c r="AF5" s="282">
        <f t="shared" si="22"/>
        <v>16285.617019999998</v>
      </c>
      <c r="AG5" s="282">
        <f t="shared" si="23"/>
        <v>18247.617019999998</v>
      </c>
    </row>
    <row r="6" spans="1:33" ht="17.25" customHeight="1" x14ac:dyDescent="0.2">
      <c r="I6" s="280">
        <v>1.7</v>
      </c>
      <c r="J6" s="281">
        <f t="shared" si="0"/>
        <v>1853</v>
      </c>
      <c r="K6" s="281">
        <f t="shared" si="1"/>
        <v>20383</v>
      </c>
      <c r="L6" s="281">
        <f t="shared" si="2"/>
        <v>22236</v>
      </c>
      <c r="M6" s="281">
        <f t="shared" si="3"/>
        <v>24089</v>
      </c>
      <c r="N6" s="281">
        <f t="shared" si="4"/>
        <v>25942</v>
      </c>
      <c r="O6" s="281">
        <f t="shared" si="5"/>
        <v>27795</v>
      </c>
      <c r="P6" s="281">
        <f t="shared" si="6"/>
        <v>29648</v>
      </c>
      <c r="Q6" s="281">
        <f t="shared" si="7"/>
        <v>31501</v>
      </c>
      <c r="R6" s="282">
        <f t="shared" si="8"/>
        <v>12179.132980000002</v>
      </c>
      <c r="S6" s="282">
        <f t="shared" si="9"/>
        <v>8203.8670199999979</v>
      </c>
      <c r="T6" s="282">
        <f t="shared" si="10"/>
        <v>10056.867019999998</v>
      </c>
      <c r="U6" s="282">
        <f t="shared" si="11"/>
        <v>11909.867019999998</v>
      </c>
      <c r="V6" s="282">
        <f t="shared" si="12"/>
        <v>13762.867019999998</v>
      </c>
      <c r="W6" s="282">
        <f t="shared" si="13"/>
        <v>15615.867019999998</v>
      </c>
      <c r="X6" s="282">
        <f t="shared" si="14"/>
        <v>17468.867019999998</v>
      </c>
      <c r="Y6" s="282">
        <f t="shared" si="15"/>
        <v>19321.867019999998</v>
      </c>
      <c r="Z6" s="282">
        <f t="shared" si="16"/>
        <v>2295</v>
      </c>
      <c r="AA6" s="282">
        <f t="shared" si="17"/>
        <v>5908.8670199999979</v>
      </c>
      <c r="AB6" s="282">
        <f t="shared" si="18"/>
        <v>7761.8670199999979</v>
      </c>
      <c r="AC6" s="282">
        <f t="shared" si="19"/>
        <v>9614.8670199999979</v>
      </c>
      <c r="AD6" s="282">
        <f t="shared" si="20"/>
        <v>11467.867019999998</v>
      </c>
      <c r="AE6" s="282">
        <f t="shared" si="21"/>
        <v>13320.867019999998</v>
      </c>
      <c r="AF6" s="282">
        <f t="shared" si="22"/>
        <v>15173.867019999998</v>
      </c>
      <c r="AG6" s="282">
        <f t="shared" si="23"/>
        <v>17026.867019999998</v>
      </c>
    </row>
    <row r="7" spans="1:33" ht="17.25" customHeight="1" x14ac:dyDescent="0.2">
      <c r="A7" s="31" t="s">
        <v>115</v>
      </c>
      <c r="B7" s="47"/>
      <c r="I7" s="280">
        <v>1.6</v>
      </c>
      <c r="J7" s="281">
        <f t="shared" si="0"/>
        <v>1744</v>
      </c>
      <c r="K7" s="281">
        <f t="shared" si="1"/>
        <v>19184</v>
      </c>
      <c r="L7" s="281">
        <f t="shared" si="2"/>
        <v>20928</v>
      </c>
      <c r="M7" s="281">
        <f t="shared" si="3"/>
        <v>22672</v>
      </c>
      <c r="N7" s="281">
        <f t="shared" si="4"/>
        <v>24416</v>
      </c>
      <c r="O7" s="281">
        <f t="shared" si="5"/>
        <v>26160</v>
      </c>
      <c r="P7" s="281">
        <f t="shared" si="6"/>
        <v>27904</v>
      </c>
      <c r="Q7" s="281">
        <f t="shared" si="7"/>
        <v>29648</v>
      </c>
      <c r="R7" s="282">
        <f t="shared" si="8"/>
        <v>11681.88298</v>
      </c>
      <c r="S7" s="282">
        <f t="shared" si="9"/>
        <v>7502.1170199999997</v>
      </c>
      <c r="T7" s="282">
        <f t="shared" si="10"/>
        <v>9246.1170199999997</v>
      </c>
      <c r="U7" s="282">
        <f t="shared" si="11"/>
        <v>10990.11702</v>
      </c>
      <c r="V7" s="282">
        <f t="shared" si="12"/>
        <v>12734.11702</v>
      </c>
      <c r="W7" s="282">
        <f t="shared" si="13"/>
        <v>14478.11702</v>
      </c>
      <c r="X7" s="282">
        <f t="shared" si="14"/>
        <v>16222.11702</v>
      </c>
      <c r="Y7" s="282">
        <f t="shared" si="15"/>
        <v>17966.117019999998</v>
      </c>
      <c r="Z7" s="282">
        <f t="shared" si="16"/>
        <v>2160</v>
      </c>
      <c r="AA7" s="282">
        <f t="shared" si="17"/>
        <v>5342.1170199999997</v>
      </c>
      <c r="AB7" s="282">
        <f t="shared" si="18"/>
        <v>7086.1170199999997</v>
      </c>
      <c r="AC7" s="282">
        <f t="shared" si="19"/>
        <v>8830.1170199999997</v>
      </c>
      <c r="AD7" s="282">
        <f t="shared" si="20"/>
        <v>10574.11702</v>
      </c>
      <c r="AE7" s="282">
        <f t="shared" si="21"/>
        <v>12318.11702</v>
      </c>
      <c r="AF7" s="282">
        <f t="shared" si="22"/>
        <v>14062.11702</v>
      </c>
      <c r="AG7" s="282">
        <f t="shared" si="23"/>
        <v>15806.117019999998</v>
      </c>
    </row>
    <row r="8" spans="1:33" ht="17.25" customHeight="1" x14ac:dyDescent="0.2">
      <c r="C8" s="48" t="s">
        <v>116</v>
      </c>
      <c r="D8" s="48" t="s">
        <v>117</v>
      </c>
      <c r="E8" s="48" t="s">
        <v>118</v>
      </c>
      <c r="F8" s="48" t="s">
        <v>119</v>
      </c>
      <c r="G8" s="49" t="s">
        <v>120</v>
      </c>
      <c r="I8" s="280">
        <v>1.5</v>
      </c>
      <c r="J8" s="281">
        <f t="shared" si="0"/>
        <v>1635</v>
      </c>
      <c r="K8" s="281">
        <f t="shared" si="1"/>
        <v>17985</v>
      </c>
      <c r="L8" s="281">
        <f t="shared" si="2"/>
        <v>19620</v>
      </c>
      <c r="M8" s="281">
        <f t="shared" si="3"/>
        <v>21255</v>
      </c>
      <c r="N8" s="281">
        <f t="shared" si="4"/>
        <v>22890</v>
      </c>
      <c r="O8" s="281">
        <f t="shared" si="5"/>
        <v>24525</v>
      </c>
      <c r="P8" s="281">
        <f t="shared" si="6"/>
        <v>26160</v>
      </c>
      <c r="Q8" s="281">
        <f t="shared" si="7"/>
        <v>27795</v>
      </c>
      <c r="R8" s="282">
        <f t="shared" si="8"/>
        <v>11184.63298</v>
      </c>
      <c r="S8" s="282">
        <f t="shared" si="9"/>
        <v>6800.3670199999997</v>
      </c>
      <c r="T8" s="282">
        <f t="shared" si="10"/>
        <v>8435.3670199999997</v>
      </c>
      <c r="U8" s="282">
        <f t="shared" si="11"/>
        <v>10070.36702</v>
      </c>
      <c r="V8" s="282">
        <f t="shared" si="12"/>
        <v>11705.36702</v>
      </c>
      <c r="W8" s="282">
        <f t="shared" si="13"/>
        <v>13340.36702</v>
      </c>
      <c r="X8" s="282">
        <f t="shared" si="14"/>
        <v>14975.36702</v>
      </c>
      <c r="Y8" s="282">
        <f t="shared" si="15"/>
        <v>16610.367019999998</v>
      </c>
      <c r="Z8" s="282">
        <f t="shared" si="16"/>
        <v>2025</v>
      </c>
      <c r="AA8" s="282">
        <f t="shared" si="17"/>
        <v>4775.3670199999997</v>
      </c>
      <c r="AB8" s="282">
        <f t="shared" si="18"/>
        <v>6410.3670199999997</v>
      </c>
      <c r="AC8" s="282">
        <f t="shared" si="19"/>
        <v>8045.3670199999997</v>
      </c>
      <c r="AD8" s="282">
        <f t="shared" si="20"/>
        <v>9680.3670199999997</v>
      </c>
      <c r="AE8" s="282">
        <f t="shared" si="21"/>
        <v>11315.36702</v>
      </c>
      <c r="AF8" s="282">
        <f t="shared" si="22"/>
        <v>12950.36702</v>
      </c>
      <c r="AG8" s="282">
        <f t="shared" si="23"/>
        <v>14585.367019999998</v>
      </c>
    </row>
    <row r="9" spans="1:33" ht="17.25" customHeight="1" x14ac:dyDescent="0.2">
      <c r="A9" s="50" t="s">
        <v>121</v>
      </c>
      <c r="D9" s="51"/>
      <c r="E9" s="52"/>
      <c r="F9" s="52"/>
      <c r="I9" s="280">
        <v>1.4</v>
      </c>
      <c r="J9" s="281">
        <f t="shared" si="0"/>
        <v>1526</v>
      </c>
      <c r="K9" s="281">
        <f t="shared" si="1"/>
        <v>16786</v>
      </c>
      <c r="L9" s="281">
        <f t="shared" si="2"/>
        <v>18312</v>
      </c>
      <c r="M9" s="281">
        <f t="shared" si="3"/>
        <v>19838</v>
      </c>
      <c r="N9" s="281">
        <f t="shared" si="4"/>
        <v>21364</v>
      </c>
      <c r="O9" s="281">
        <f t="shared" si="5"/>
        <v>22890</v>
      </c>
      <c r="P9" s="281">
        <f t="shared" si="6"/>
        <v>24416</v>
      </c>
      <c r="Q9" s="281">
        <f t="shared" si="7"/>
        <v>25942</v>
      </c>
      <c r="R9" s="282">
        <f t="shared" si="8"/>
        <v>10687.38298</v>
      </c>
      <c r="S9" s="282">
        <f t="shared" si="9"/>
        <v>6098.6170199999997</v>
      </c>
      <c r="T9" s="282">
        <f t="shared" si="10"/>
        <v>7624.6170199999997</v>
      </c>
      <c r="U9" s="282">
        <f t="shared" si="11"/>
        <v>9150.6170199999997</v>
      </c>
      <c r="V9" s="282">
        <f t="shared" si="12"/>
        <v>10676.61702</v>
      </c>
      <c r="W9" s="282">
        <f t="shared" si="13"/>
        <v>12202.61702</v>
      </c>
      <c r="X9" s="282">
        <f t="shared" si="14"/>
        <v>13728.61702</v>
      </c>
      <c r="Y9" s="282">
        <f t="shared" si="15"/>
        <v>15254.61702</v>
      </c>
      <c r="Z9" s="282">
        <f t="shared" si="16"/>
        <v>1890</v>
      </c>
      <c r="AA9" s="282">
        <f t="shared" si="17"/>
        <v>4208.6170199999997</v>
      </c>
      <c r="AB9" s="282">
        <f t="shared" si="18"/>
        <v>5734.6170199999997</v>
      </c>
      <c r="AC9" s="282">
        <f t="shared" si="19"/>
        <v>7260.6170199999997</v>
      </c>
      <c r="AD9" s="282">
        <f t="shared" si="20"/>
        <v>8786.6170199999997</v>
      </c>
      <c r="AE9" s="282">
        <f t="shared" si="21"/>
        <v>10312.61702</v>
      </c>
      <c r="AF9" s="282">
        <f t="shared" si="22"/>
        <v>11838.61702</v>
      </c>
      <c r="AG9" s="282">
        <f t="shared" si="23"/>
        <v>13364.61702</v>
      </c>
    </row>
    <row r="10" spans="1:33" ht="17.25" customHeight="1" x14ac:dyDescent="0.2">
      <c r="B10" s="45" t="s">
        <v>122</v>
      </c>
      <c r="C10" s="46" t="s">
        <v>123</v>
      </c>
      <c r="D10" s="53">
        <v>1090</v>
      </c>
      <c r="E10" s="54">
        <v>14</v>
      </c>
      <c r="F10" s="55">
        <f>D10*E10</f>
        <v>15260</v>
      </c>
      <c r="G10" s="56"/>
      <c r="I10" s="280">
        <v>1.3</v>
      </c>
      <c r="J10" s="281">
        <f t="shared" si="0"/>
        <v>1417</v>
      </c>
      <c r="K10" s="281">
        <f t="shared" si="1"/>
        <v>15587</v>
      </c>
      <c r="L10" s="281">
        <f t="shared" si="2"/>
        <v>17004</v>
      </c>
      <c r="M10" s="281">
        <f t="shared" si="3"/>
        <v>18421</v>
      </c>
      <c r="N10" s="281">
        <f t="shared" si="4"/>
        <v>19838</v>
      </c>
      <c r="O10" s="281">
        <f t="shared" si="5"/>
        <v>21255</v>
      </c>
      <c r="P10" s="281">
        <f t="shared" si="6"/>
        <v>22672</v>
      </c>
      <c r="Q10" s="281">
        <f t="shared" si="7"/>
        <v>24089</v>
      </c>
      <c r="R10" s="282">
        <f t="shared" si="8"/>
        <v>10190.132979999998</v>
      </c>
      <c r="S10" s="282">
        <f t="shared" si="9"/>
        <v>5396.8670200000015</v>
      </c>
      <c r="T10" s="282">
        <f t="shared" si="10"/>
        <v>6813.8670200000015</v>
      </c>
      <c r="U10" s="282">
        <f t="shared" si="11"/>
        <v>8230.8670200000015</v>
      </c>
      <c r="V10" s="282">
        <f t="shared" si="12"/>
        <v>9647.8670200000015</v>
      </c>
      <c r="W10" s="282">
        <f t="shared" si="13"/>
        <v>11064.867020000002</v>
      </c>
      <c r="X10" s="282">
        <f t="shared" si="14"/>
        <v>12481.867020000002</v>
      </c>
      <c r="Y10" s="282">
        <f t="shared" si="15"/>
        <v>13898.867020000002</v>
      </c>
      <c r="Z10" s="282">
        <f t="shared" si="16"/>
        <v>1755</v>
      </c>
      <c r="AA10" s="282">
        <f t="shared" si="17"/>
        <v>3641.8670200000015</v>
      </c>
      <c r="AB10" s="282">
        <f t="shared" si="18"/>
        <v>5058.8670200000015</v>
      </c>
      <c r="AC10" s="282">
        <f t="shared" si="19"/>
        <v>6475.8670200000015</v>
      </c>
      <c r="AD10" s="282">
        <f t="shared" si="20"/>
        <v>7892.8670200000015</v>
      </c>
      <c r="AE10" s="282">
        <f t="shared" si="21"/>
        <v>9309.8670200000015</v>
      </c>
      <c r="AF10" s="282">
        <f t="shared" si="22"/>
        <v>10726.867020000002</v>
      </c>
      <c r="AG10" s="282">
        <f t="shared" si="23"/>
        <v>12143.867020000002</v>
      </c>
    </row>
    <row r="11" spans="1:33" ht="17.25" customHeight="1" x14ac:dyDescent="0.2">
      <c r="D11" s="53"/>
      <c r="E11" s="52"/>
      <c r="F11" s="52"/>
      <c r="I11" s="280">
        <v>1.2</v>
      </c>
      <c r="J11" s="281">
        <f t="shared" si="0"/>
        <v>1308</v>
      </c>
      <c r="K11" s="281">
        <f t="shared" si="1"/>
        <v>14388</v>
      </c>
      <c r="L11" s="281">
        <f t="shared" si="2"/>
        <v>15696</v>
      </c>
      <c r="M11" s="281">
        <f t="shared" si="3"/>
        <v>17004</v>
      </c>
      <c r="N11" s="281">
        <f t="shared" si="4"/>
        <v>18312</v>
      </c>
      <c r="O11" s="281">
        <f t="shared" si="5"/>
        <v>19620</v>
      </c>
      <c r="P11" s="281">
        <f t="shared" si="6"/>
        <v>20928</v>
      </c>
      <c r="Q11" s="281">
        <f t="shared" si="7"/>
        <v>22236</v>
      </c>
      <c r="R11" s="282">
        <f t="shared" si="8"/>
        <v>9692.8829800000003</v>
      </c>
      <c r="S11" s="282">
        <f t="shared" si="9"/>
        <v>4695.1170199999997</v>
      </c>
      <c r="T11" s="282">
        <f t="shared" si="10"/>
        <v>6003.1170199999997</v>
      </c>
      <c r="U11" s="282">
        <f t="shared" si="11"/>
        <v>7311.1170199999997</v>
      </c>
      <c r="V11" s="282">
        <f t="shared" si="12"/>
        <v>8619.1170199999997</v>
      </c>
      <c r="W11" s="282">
        <f t="shared" si="13"/>
        <v>9927.1170199999997</v>
      </c>
      <c r="X11" s="282">
        <f t="shared" si="14"/>
        <v>11235.11702</v>
      </c>
      <c r="Y11" s="282">
        <f t="shared" si="15"/>
        <v>12543.11702</v>
      </c>
      <c r="Z11" s="282">
        <f t="shared" si="16"/>
        <v>1620</v>
      </c>
      <c r="AA11" s="282">
        <f t="shared" si="17"/>
        <v>3075.1170199999997</v>
      </c>
      <c r="AB11" s="282">
        <f t="shared" si="18"/>
        <v>4383.1170199999997</v>
      </c>
      <c r="AC11" s="282">
        <f t="shared" si="19"/>
        <v>5691.1170199999997</v>
      </c>
      <c r="AD11" s="282">
        <f t="shared" si="20"/>
        <v>6999.1170199999997</v>
      </c>
      <c r="AE11" s="282">
        <f t="shared" si="21"/>
        <v>8307.1170199999997</v>
      </c>
      <c r="AF11" s="282">
        <f t="shared" si="22"/>
        <v>9615.1170199999997</v>
      </c>
      <c r="AG11" s="282">
        <f t="shared" si="23"/>
        <v>10923.11702</v>
      </c>
    </row>
    <row r="12" spans="1:33" ht="17.25" customHeight="1" x14ac:dyDescent="0.2">
      <c r="A12" s="57"/>
      <c r="B12" s="58"/>
      <c r="C12" s="59"/>
      <c r="D12" s="60"/>
      <c r="E12" s="61"/>
      <c r="F12" s="61"/>
      <c r="G12" s="59"/>
      <c r="I12" s="280">
        <v>1.1000000000000001</v>
      </c>
      <c r="J12" s="281">
        <f t="shared" si="0"/>
        <v>1199</v>
      </c>
      <c r="K12" s="281">
        <f t="shared" si="1"/>
        <v>13189</v>
      </c>
      <c r="L12" s="281">
        <f t="shared" si="2"/>
        <v>14388</v>
      </c>
      <c r="M12" s="281">
        <f t="shared" si="3"/>
        <v>15587</v>
      </c>
      <c r="N12" s="281">
        <f t="shared" si="4"/>
        <v>16786</v>
      </c>
      <c r="O12" s="281">
        <f t="shared" si="5"/>
        <v>17985</v>
      </c>
      <c r="P12" s="281">
        <f t="shared" si="6"/>
        <v>19184</v>
      </c>
      <c r="Q12" s="281">
        <f t="shared" si="7"/>
        <v>20383</v>
      </c>
      <c r="R12" s="282">
        <f t="shared" si="8"/>
        <v>9195.6329800000003</v>
      </c>
      <c r="S12" s="282">
        <f t="shared" si="9"/>
        <v>3993.3670199999997</v>
      </c>
      <c r="T12" s="282">
        <f t="shared" si="10"/>
        <v>5192.3670199999997</v>
      </c>
      <c r="U12" s="282">
        <f t="shared" si="11"/>
        <v>6391.3670199999997</v>
      </c>
      <c r="V12" s="282">
        <f t="shared" si="12"/>
        <v>7590.3670199999997</v>
      </c>
      <c r="W12" s="282">
        <f t="shared" si="13"/>
        <v>8789.3670199999997</v>
      </c>
      <c r="X12" s="282">
        <f t="shared" si="14"/>
        <v>9988.3670199999997</v>
      </c>
      <c r="Y12" s="282">
        <f t="shared" si="15"/>
        <v>11187.36702</v>
      </c>
      <c r="Z12" s="282">
        <f t="shared" si="16"/>
        <v>1485</v>
      </c>
      <c r="AA12" s="282">
        <f t="shared" si="17"/>
        <v>2508.3670199999997</v>
      </c>
      <c r="AB12" s="282">
        <f t="shared" si="18"/>
        <v>3707.3670199999997</v>
      </c>
      <c r="AC12" s="282">
        <f t="shared" si="19"/>
        <v>4906.3670199999997</v>
      </c>
      <c r="AD12" s="282">
        <f t="shared" si="20"/>
        <v>6105.3670199999997</v>
      </c>
      <c r="AE12" s="282">
        <f t="shared" si="21"/>
        <v>7304.3670199999997</v>
      </c>
      <c r="AF12" s="282">
        <f t="shared" si="22"/>
        <v>8503.3670199999997</v>
      </c>
      <c r="AG12" s="282">
        <f t="shared" si="23"/>
        <v>9702.3670199999997</v>
      </c>
    </row>
    <row r="13" spans="1:33" ht="17.25" customHeight="1" x14ac:dyDescent="0.2">
      <c r="A13" s="10" t="s">
        <v>124</v>
      </c>
      <c r="D13" s="53"/>
      <c r="E13" s="52"/>
      <c r="F13" s="52"/>
      <c r="I13" s="304">
        <v>1</v>
      </c>
      <c r="J13" s="294">
        <v>1090</v>
      </c>
      <c r="K13" s="281">
        <f t="shared" si="1"/>
        <v>11990</v>
      </c>
      <c r="L13" s="281">
        <f t="shared" si="2"/>
        <v>13080</v>
      </c>
      <c r="M13" s="281">
        <f t="shared" si="3"/>
        <v>14170</v>
      </c>
      <c r="N13" s="288">
        <f t="shared" si="4"/>
        <v>15260</v>
      </c>
      <c r="O13" s="281">
        <f t="shared" si="5"/>
        <v>16350</v>
      </c>
      <c r="P13" s="281">
        <f t="shared" si="6"/>
        <v>17440</v>
      </c>
      <c r="Q13" s="281">
        <f t="shared" si="7"/>
        <v>18530</v>
      </c>
      <c r="R13" s="290">
        <f t="shared" si="8"/>
        <v>8698.3829800000003</v>
      </c>
      <c r="S13" s="282">
        <f t="shared" si="9"/>
        <v>3291.6170199999997</v>
      </c>
      <c r="T13" s="282">
        <f t="shared" si="10"/>
        <v>4381.6170199999997</v>
      </c>
      <c r="U13" s="282">
        <f t="shared" si="11"/>
        <v>5471.6170199999997</v>
      </c>
      <c r="V13" s="290">
        <f t="shared" si="12"/>
        <v>6561.6170199999997</v>
      </c>
      <c r="W13" s="282">
        <f t="shared" si="13"/>
        <v>7651.6170199999997</v>
      </c>
      <c r="X13" s="282">
        <f t="shared" si="14"/>
        <v>8741.6170199999997</v>
      </c>
      <c r="Y13" s="282">
        <f t="shared" si="15"/>
        <v>9831.6170199999997</v>
      </c>
      <c r="Z13" s="290">
        <f t="shared" si="16"/>
        <v>1350</v>
      </c>
      <c r="AA13" s="282">
        <f t="shared" si="17"/>
        <v>1941.6170199999997</v>
      </c>
      <c r="AB13" s="282">
        <f t="shared" si="18"/>
        <v>3031.6170199999997</v>
      </c>
      <c r="AC13" s="282">
        <f t="shared" si="19"/>
        <v>4121.6170199999997</v>
      </c>
      <c r="AD13" s="290">
        <f t="shared" si="20"/>
        <v>5211.6170199999997</v>
      </c>
      <c r="AE13" s="282">
        <f t="shared" si="21"/>
        <v>6301.6170199999997</v>
      </c>
      <c r="AF13" s="282">
        <f t="shared" si="22"/>
        <v>7391.6170199999997</v>
      </c>
      <c r="AG13" s="282">
        <f t="shared" si="23"/>
        <v>8481.6170199999997</v>
      </c>
    </row>
    <row r="14" spans="1:33" ht="17.25" customHeight="1" x14ac:dyDescent="0.2">
      <c r="B14" s="62" t="s">
        <v>125</v>
      </c>
      <c r="D14" s="53"/>
      <c r="E14" s="52"/>
      <c r="F14" s="52"/>
      <c r="I14" s="280">
        <v>0.9</v>
      </c>
      <c r="J14" s="281">
        <f t="shared" ref="J14:J23" si="24">$J$13*I14</f>
        <v>981</v>
      </c>
      <c r="K14" s="281">
        <f t="shared" si="1"/>
        <v>10791</v>
      </c>
      <c r="L14" s="281">
        <f t="shared" si="2"/>
        <v>11772</v>
      </c>
      <c r="M14" s="281">
        <f t="shared" si="3"/>
        <v>12753</v>
      </c>
      <c r="N14" s="281">
        <f t="shared" si="4"/>
        <v>13734</v>
      </c>
      <c r="O14" s="281">
        <f t="shared" si="5"/>
        <v>14715</v>
      </c>
      <c r="P14" s="281">
        <f t="shared" si="6"/>
        <v>15696</v>
      </c>
      <c r="Q14" s="281">
        <f t="shared" si="7"/>
        <v>16677</v>
      </c>
      <c r="R14" s="282">
        <f t="shared" si="8"/>
        <v>8201.1329800000003</v>
      </c>
      <c r="S14" s="282">
        <f t="shared" si="9"/>
        <v>2589.8670199999997</v>
      </c>
      <c r="T14" s="282">
        <f t="shared" si="10"/>
        <v>3570.8670199999997</v>
      </c>
      <c r="U14" s="282">
        <f t="shared" si="11"/>
        <v>4551.8670199999997</v>
      </c>
      <c r="V14" s="282">
        <f t="shared" si="12"/>
        <v>5532.8670199999997</v>
      </c>
      <c r="W14" s="282">
        <f t="shared" si="13"/>
        <v>6513.8670199999997</v>
      </c>
      <c r="X14" s="282">
        <f t="shared" si="14"/>
        <v>7494.8670199999997</v>
      </c>
      <c r="Y14" s="282">
        <f t="shared" si="15"/>
        <v>8475.8670199999997</v>
      </c>
      <c r="Z14" s="282">
        <f t="shared" si="16"/>
        <v>1215</v>
      </c>
      <c r="AA14" s="282">
        <f t="shared" si="17"/>
        <v>1374.8670199999997</v>
      </c>
      <c r="AB14" s="282">
        <f t="shared" si="18"/>
        <v>2355.8670199999997</v>
      </c>
      <c r="AC14" s="282">
        <f t="shared" si="19"/>
        <v>3336.8670199999997</v>
      </c>
      <c r="AD14" s="282">
        <f t="shared" si="20"/>
        <v>4317.8670199999997</v>
      </c>
      <c r="AE14" s="282">
        <f t="shared" si="21"/>
        <v>5298.8670199999997</v>
      </c>
      <c r="AF14" s="282">
        <f t="shared" si="22"/>
        <v>6279.8670199999997</v>
      </c>
      <c r="AG14" s="282">
        <f t="shared" si="23"/>
        <v>7260.8670199999997</v>
      </c>
    </row>
    <row r="15" spans="1:33" ht="17.25" customHeight="1" x14ac:dyDescent="0.2">
      <c r="B15" s="45" t="s">
        <v>126</v>
      </c>
      <c r="C15" s="46" t="s">
        <v>127</v>
      </c>
      <c r="D15" s="53">
        <v>1</v>
      </c>
      <c r="E15" s="54">
        <v>7</v>
      </c>
      <c r="F15" s="52">
        <f>D15*E15</f>
        <v>7</v>
      </c>
      <c r="G15" s="56"/>
      <c r="I15" s="280">
        <v>0.8</v>
      </c>
      <c r="J15" s="281">
        <f t="shared" si="24"/>
        <v>872</v>
      </c>
      <c r="K15" s="281">
        <f t="shared" si="1"/>
        <v>9592</v>
      </c>
      <c r="L15" s="281">
        <f t="shared" si="2"/>
        <v>10464</v>
      </c>
      <c r="M15" s="281">
        <f t="shared" si="3"/>
        <v>11336</v>
      </c>
      <c r="N15" s="281">
        <f t="shared" si="4"/>
        <v>12208</v>
      </c>
      <c r="O15" s="281">
        <f t="shared" si="5"/>
        <v>13080</v>
      </c>
      <c r="P15" s="281">
        <f t="shared" si="6"/>
        <v>13952</v>
      </c>
      <c r="Q15" s="281">
        <f t="shared" si="7"/>
        <v>14824</v>
      </c>
      <c r="R15" s="282">
        <f t="shared" si="8"/>
        <v>7703.8829800000003</v>
      </c>
      <c r="S15" s="282">
        <f t="shared" si="9"/>
        <v>1888.1170199999997</v>
      </c>
      <c r="T15" s="282">
        <f t="shared" si="10"/>
        <v>2760.1170199999997</v>
      </c>
      <c r="U15" s="282">
        <f t="shared" si="11"/>
        <v>3632.1170199999997</v>
      </c>
      <c r="V15" s="282">
        <f t="shared" si="12"/>
        <v>4504.1170199999997</v>
      </c>
      <c r="W15" s="282">
        <f t="shared" si="13"/>
        <v>5376.1170199999997</v>
      </c>
      <c r="X15" s="282">
        <f t="shared" si="14"/>
        <v>6248.1170199999997</v>
      </c>
      <c r="Y15" s="282">
        <f t="shared" si="15"/>
        <v>7120.1170199999997</v>
      </c>
      <c r="Z15" s="282">
        <f t="shared" si="16"/>
        <v>1080</v>
      </c>
      <c r="AA15" s="282">
        <f t="shared" si="17"/>
        <v>808.11701999999968</v>
      </c>
      <c r="AB15" s="282">
        <f t="shared" si="18"/>
        <v>1680.1170199999997</v>
      </c>
      <c r="AC15" s="282">
        <f t="shared" si="19"/>
        <v>2552.1170199999997</v>
      </c>
      <c r="AD15" s="282">
        <f t="shared" si="20"/>
        <v>3424.1170199999997</v>
      </c>
      <c r="AE15" s="282">
        <f t="shared" si="21"/>
        <v>4296.1170199999997</v>
      </c>
      <c r="AF15" s="282">
        <f t="shared" si="22"/>
        <v>5168.1170199999997</v>
      </c>
      <c r="AG15" s="282">
        <f t="shared" si="23"/>
        <v>6040.1170199999997</v>
      </c>
    </row>
    <row r="16" spans="1:33" ht="17.25" customHeight="1" x14ac:dyDescent="0.2">
      <c r="B16" s="45" t="s">
        <v>128</v>
      </c>
      <c r="C16" s="46" t="s">
        <v>129</v>
      </c>
      <c r="D16" s="53">
        <v>4</v>
      </c>
      <c r="E16" s="54">
        <v>169</v>
      </c>
      <c r="F16" s="52">
        <f>D16*E16</f>
        <v>676</v>
      </c>
      <c r="G16" s="63"/>
      <c r="I16" s="280">
        <v>0.7</v>
      </c>
      <c r="J16" s="281">
        <f t="shared" si="24"/>
        <v>763</v>
      </c>
      <c r="K16" s="281">
        <f t="shared" si="1"/>
        <v>8393</v>
      </c>
      <c r="L16" s="281">
        <f t="shared" si="2"/>
        <v>9156</v>
      </c>
      <c r="M16" s="281">
        <f t="shared" si="3"/>
        <v>9919</v>
      </c>
      <c r="N16" s="281">
        <f t="shared" si="4"/>
        <v>10682</v>
      </c>
      <c r="O16" s="281">
        <f t="shared" si="5"/>
        <v>11445</v>
      </c>
      <c r="P16" s="281">
        <f t="shared" si="6"/>
        <v>12208</v>
      </c>
      <c r="Q16" s="281">
        <f t="shared" si="7"/>
        <v>12971</v>
      </c>
      <c r="R16" s="282">
        <f t="shared" si="8"/>
        <v>7206.6329800000003</v>
      </c>
      <c r="S16" s="282">
        <f t="shared" si="9"/>
        <v>1186.3670199999997</v>
      </c>
      <c r="T16" s="282">
        <f t="shared" si="10"/>
        <v>1949.3670199999997</v>
      </c>
      <c r="U16" s="282">
        <f t="shared" si="11"/>
        <v>2712.3670199999997</v>
      </c>
      <c r="V16" s="282">
        <f t="shared" si="12"/>
        <v>3475.3670199999997</v>
      </c>
      <c r="W16" s="282">
        <f t="shared" si="13"/>
        <v>4238.3670199999997</v>
      </c>
      <c r="X16" s="282">
        <f t="shared" si="14"/>
        <v>5001.3670199999997</v>
      </c>
      <c r="Y16" s="282">
        <f t="shared" si="15"/>
        <v>5764.3670199999997</v>
      </c>
      <c r="Z16" s="282">
        <f t="shared" si="16"/>
        <v>945</v>
      </c>
      <c r="AA16" s="282">
        <f t="shared" si="17"/>
        <v>241.36701999999968</v>
      </c>
      <c r="AB16" s="282">
        <f t="shared" si="18"/>
        <v>1004.3670199999997</v>
      </c>
      <c r="AC16" s="282">
        <f t="shared" si="19"/>
        <v>1767.3670199999997</v>
      </c>
      <c r="AD16" s="282">
        <f t="shared" si="20"/>
        <v>2530.3670199999997</v>
      </c>
      <c r="AE16" s="282">
        <f t="shared" si="21"/>
        <v>3293.3670199999997</v>
      </c>
      <c r="AF16" s="282">
        <f t="shared" si="22"/>
        <v>4056.3670199999997</v>
      </c>
      <c r="AG16" s="282">
        <f t="shared" si="23"/>
        <v>4819.3670199999997</v>
      </c>
    </row>
    <row r="17" spans="2:33" ht="17.25" customHeight="1" x14ac:dyDescent="0.2">
      <c r="B17" s="45" t="s">
        <v>130</v>
      </c>
      <c r="C17" s="46" t="s">
        <v>131</v>
      </c>
      <c r="D17" s="53">
        <v>1</v>
      </c>
      <c r="E17" s="54">
        <v>40</v>
      </c>
      <c r="F17" s="52">
        <f>D17*E17</f>
        <v>40</v>
      </c>
      <c r="G17" s="63"/>
      <c r="I17" s="280">
        <v>0.6</v>
      </c>
      <c r="J17" s="281">
        <f t="shared" si="24"/>
        <v>654</v>
      </c>
      <c r="K17" s="281">
        <f t="shared" si="1"/>
        <v>7194</v>
      </c>
      <c r="L17" s="281">
        <f t="shared" si="2"/>
        <v>7848</v>
      </c>
      <c r="M17" s="281">
        <f t="shared" si="3"/>
        <v>8502</v>
      </c>
      <c r="N17" s="281">
        <f t="shared" si="4"/>
        <v>9156</v>
      </c>
      <c r="O17" s="281">
        <f t="shared" si="5"/>
        <v>9810</v>
      </c>
      <c r="P17" s="281">
        <f t="shared" si="6"/>
        <v>10464</v>
      </c>
      <c r="Q17" s="281">
        <f t="shared" si="7"/>
        <v>11118</v>
      </c>
      <c r="R17" s="282">
        <f t="shared" si="8"/>
        <v>6709.3829800000003</v>
      </c>
      <c r="S17" s="282">
        <f t="shared" si="9"/>
        <v>484.61701999999968</v>
      </c>
      <c r="T17" s="282">
        <f t="shared" si="10"/>
        <v>1138.6170199999997</v>
      </c>
      <c r="U17" s="282">
        <f t="shared" si="11"/>
        <v>1792.6170199999997</v>
      </c>
      <c r="V17" s="282">
        <f t="shared" si="12"/>
        <v>2446.6170199999997</v>
      </c>
      <c r="W17" s="282">
        <f t="shared" si="13"/>
        <v>3100.6170199999997</v>
      </c>
      <c r="X17" s="282">
        <f t="shared" si="14"/>
        <v>3754.6170199999997</v>
      </c>
      <c r="Y17" s="282">
        <f t="shared" si="15"/>
        <v>4408.6170199999997</v>
      </c>
      <c r="Z17" s="282">
        <f t="shared" si="16"/>
        <v>810</v>
      </c>
      <c r="AA17" s="282">
        <f t="shared" si="17"/>
        <v>-325.38298000000032</v>
      </c>
      <c r="AB17" s="282">
        <f t="shared" si="18"/>
        <v>328.61701999999968</v>
      </c>
      <c r="AC17" s="282">
        <f t="shared" si="19"/>
        <v>982.61701999999968</v>
      </c>
      <c r="AD17" s="282">
        <f t="shared" si="20"/>
        <v>1636.6170199999997</v>
      </c>
      <c r="AE17" s="282">
        <f t="shared" si="21"/>
        <v>2290.6170199999997</v>
      </c>
      <c r="AF17" s="282">
        <f t="shared" si="22"/>
        <v>2944.6170199999997</v>
      </c>
      <c r="AG17" s="282">
        <f t="shared" si="23"/>
        <v>3598.6170199999997</v>
      </c>
    </row>
    <row r="18" spans="2:33" ht="17.25" customHeight="1" x14ac:dyDescent="0.2">
      <c r="B18" s="45" t="s">
        <v>132</v>
      </c>
      <c r="D18" s="53"/>
      <c r="E18" s="54"/>
      <c r="F18" s="52"/>
      <c r="I18" s="280">
        <v>0.5</v>
      </c>
      <c r="J18" s="281">
        <f t="shared" si="24"/>
        <v>545</v>
      </c>
      <c r="K18" s="281">
        <f t="shared" si="1"/>
        <v>5995</v>
      </c>
      <c r="L18" s="281">
        <f t="shared" si="2"/>
        <v>6540</v>
      </c>
      <c r="M18" s="281">
        <f t="shared" si="3"/>
        <v>7085</v>
      </c>
      <c r="N18" s="281">
        <f t="shared" si="4"/>
        <v>7630</v>
      </c>
      <c r="O18" s="281">
        <f t="shared" si="5"/>
        <v>8175</v>
      </c>
      <c r="P18" s="281">
        <f t="shared" si="6"/>
        <v>8720</v>
      </c>
      <c r="Q18" s="281">
        <f t="shared" si="7"/>
        <v>9265</v>
      </c>
      <c r="R18" s="282">
        <f t="shared" si="8"/>
        <v>6212.1329800000003</v>
      </c>
      <c r="S18" s="282">
        <f t="shared" si="9"/>
        <v>-217.13298000000032</v>
      </c>
      <c r="T18" s="282">
        <f t="shared" si="10"/>
        <v>327.86701999999968</v>
      </c>
      <c r="U18" s="282">
        <f t="shared" si="11"/>
        <v>872.86701999999968</v>
      </c>
      <c r="V18" s="282">
        <f t="shared" si="12"/>
        <v>1417.8670199999997</v>
      </c>
      <c r="W18" s="282">
        <f t="shared" si="13"/>
        <v>1962.8670199999997</v>
      </c>
      <c r="X18" s="282">
        <f t="shared" si="14"/>
        <v>2507.8670199999997</v>
      </c>
      <c r="Y18" s="282">
        <f t="shared" si="15"/>
        <v>3052.8670199999997</v>
      </c>
      <c r="Z18" s="282">
        <f t="shared" si="16"/>
        <v>675</v>
      </c>
      <c r="AA18" s="282">
        <f t="shared" si="17"/>
        <v>-892.13298000000032</v>
      </c>
      <c r="AB18" s="282">
        <f t="shared" si="18"/>
        <v>-347.13298000000032</v>
      </c>
      <c r="AC18" s="282">
        <f t="shared" si="19"/>
        <v>197.86701999999968</v>
      </c>
      <c r="AD18" s="282">
        <f t="shared" si="20"/>
        <v>742.86701999999968</v>
      </c>
      <c r="AE18" s="282">
        <f t="shared" si="21"/>
        <v>1287.8670199999997</v>
      </c>
      <c r="AF18" s="282">
        <f t="shared" si="22"/>
        <v>1832.8670199999997</v>
      </c>
      <c r="AG18" s="282">
        <f t="shared" si="23"/>
        <v>2377.8670199999997</v>
      </c>
    </row>
    <row r="19" spans="2:33" ht="17.25" customHeight="1" x14ac:dyDescent="0.2">
      <c r="B19" s="45" t="s">
        <v>133</v>
      </c>
      <c r="C19" s="46" t="s">
        <v>116</v>
      </c>
      <c r="D19" s="53">
        <v>117</v>
      </c>
      <c r="E19" s="54">
        <v>0.43</v>
      </c>
      <c r="F19" s="52">
        <f t="shared" ref="F19:F31" si="25">D19*E19</f>
        <v>50.31</v>
      </c>
      <c r="G19" s="56"/>
      <c r="I19" s="280">
        <v>0.4</v>
      </c>
      <c r="J19" s="281">
        <f t="shared" si="24"/>
        <v>436</v>
      </c>
      <c r="K19" s="281">
        <f t="shared" si="1"/>
        <v>4796</v>
      </c>
      <c r="L19" s="281">
        <f t="shared" si="2"/>
        <v>5232</v>
      </c>
      <c r="M19" s="281">
        <f t="shared" si="3"/>
        <v>5668</v>
      </c>
      <c r="N19" s="281">
        <f t="shared" si="4"/>
        <v>6104</v>
      </c>
      <c r="O19" s="281">
        <f t="shared" si="5"/>
        <v>6540</v>
      </c>
      <c r="P19" s="281">
        <f t="shared" si="6"/>
        <v>6976</v>
      </c>
      <c r="Q19" s="281">
        <f t="shared" si="7"/>
        <v>7412</v>
      </c>
      <c r="R19" s="282">
        <f t="shared" si="8"/>
        <v>5714.8829800000003</v>
      </c>
      <c r="S19" s="282">
        <f t="shared" si="9"/>
        <v>-918.88298000000032</v>
      </c>
      <c r="T19" s="282">
        <f t="shared" si="10"/>
        <v>-482.88298000000032</v>
      </c>
      <c r="U19" s="282">
        <f t="shared" si="11"/>
        <v>-46.882980000000316</v>
      </c>
      <c r="V19" s="282">
        <f t="shared" si="12"/>
        <v>389.11701999999968</v>
      </c>
      <c r="W19" s="282">
        <f t="shared" si="13"/>
        <v>825.11701999999968</v>
      </c>
      <c r="X19" s="282">
        <f t="shared" si="14"/>
        <v>1261.1170199999997</v>
      </c>
      <c r="Y19" s="282">
        <f t="shared" si="15"/>
        <v>1697.1170199999997</v>
      </c>
      <c r="Z19" s="282">
        <f t="shared" si="16"/>
        <v>540</v>
      </c>
      <c r="AA19" s="282">
        <f t="shared" si="17"/>
        <v>-1458.8829800000003</v>
      </c>
      <c r="AB19" s="282">
        <f t="shared" si="18"/>
        <v>-1022.8829800000003</v>
      </c>
      <c r="AC19" s="282">
        <f t="shared" si="19"/>
        <v>-586.88298000000032</v>
      </c>
      <c r="AD19" s="282">
        <f t="shared" si="20"/>
        <v>-150.88298000000032</v>
      </c>
      <c r="AE19" s="282">
        <f t="shared" si="21"/>
        <v>285.11701999999968</v>
      </c>
      <c r="AF19" s="282">
        <f t="shared" si="22"/>
        <v>721.11701999999968</v>
      </c>
      <c r="AG19" s="282">
        <f t="shared" si="23"/>
        <v>1157.1170199999997</v>
      </c>
    </row>
    <row r="20" spans="2:33" ht="17.25" customHeight="1" x14ac:dyDescent="0.2">
      <c r="B20" s="64" t="s">
        <v>134</v>
      </c>
      <c r="C20" s="46" t="s">
        <v>116</v>
      </c>
      <c r="D20" s="53">
        <v>117</v>
      </c>
      <c r="E20" s="54">
        <v>0.38</v>
      </c>
      <c r="F20" s="52">
        <f t="shared" si="25"/>
        <v>44.46</v>
      </c>
      <c r="G20" s="63"/>
      <c r="I20" s="280">
        <v>0.3</v>
      </c>
      <c r="J20" s="281">
        <f t="shared" si="24"/>
        <v>327</v>
      </c>
      <c r="K20" s="281">
        <f t="shared" si="1"/>
        <v>3597</v>
      </c>
      <c r="L20" s="281">
        <f t="shared" si="2"/>
        <v>3924</v>
      </c>
      <c r="M20" s="281">
        <f t="shared" si="3"/>
        <v>4251</v>
      </c>
      <c r="N20" s="281">
        <f t="shared" si="4"/>
        <v>4578</v>
      </c>
      <c r="O20" s="281">
        <f t="shared" si="5"/>
        <v>4905</v>
      </c>
      <c r="P20" s="281">
        <f t="shared" si="6"/>
        <v>5232</v>
      </c>
      <c r="Q20" s="281">
        <f t="shared" si="7"/>
        <v>5559</v>
      </c>
      <c r="R20" s="282">
        <f t="shared" si="8"/>
        <v>5217.6329800000003</v>
      </c>
      <c r="S20" s="282">
        <f t="shared" si="9"/>
        <v>-1620.6329800000003</v>
      </c>
      <c r="T20" s="282">
        <f t="shared" si="10"/>
        <v>-1293.6329800000003</v>
      </c>
      <c r="U20" s="282">
        <f t="shared" si="11"/>
        <v>-966.63298000000032</v>
      </c>
      <c r="V20" s="282">
        <f t="shared" si="12"/>
        <v>-639.63298000000032</v>
      </c>
      <c r="W20" s="282">
        <f t="shared" si="13"/>
        <v>-312.63298000000032</v>
      </c>
      <c r="X20" s="282">
        <f t="shared" si="14"/>
        <v>14.367019999999684</v>
      </c>
      <c r="Y20" s="282">
        <f t="shared" si="15"/>
        <v>341.36701999999968</v>
      </c>
      <c r="Z20" s="282">
        <f t="shared" si="16"/>
        <v>405</v>
      </c>
      <c r="AA20" s="282">
        <f t="shared" si="17"/>
        <v>-2025.6329800000003</v>
      </c>
      <c r="AB20" s="282">
        <f t="shared" si="18"/>
        <v>-1698.6329800000003</v>
      </c>
      <c r="AC20" s="282">
        <f t="shared" si="19"/>
        <v>-1371.6329800000003</v>
      </c>
      <c r="AD20" s="282">
        <f t="shared" si="20"/>
        <v>-1044.6329800000003</v>
      </c>
      <c r="AE20" s="282">
        <f t="shared" si="21"/>
        <v>-717.63298000000032</v>
      </c>
      <c r="AF20" s="282">
        <f t="shared" si="22"/>
        <v>-390.63298000000032</v>
      </c>
      <c r="AG20" s="282">
        <f t="shared" si="23"/>
        <v>-63.632980000000316</v>
      </c>
    </row>
    <row r="21" spans="2:33" ht="17.25" customHeight="1" x14ac:dyDescent="0.2">
      <c r="B21" s="45" t="s">
        <v>135</v>
      </c>
      <c r="C21" s="46" t="s">
        <v>116</v>
      </c>
      <c r="D21" s="53">
        <v>117</v>
      </c>
      <c r="E21" s="54">
        <v>0.33</v>
      </c>
      <c r="F21" s="52">
        <f t="shared" si="25"/>
        <v>38.61</v>
      </c>
      <c r="G21" s="63"/>
      <c r="I21" s="280">
        <v>0.2</v>
      </c>
      <c r="J21" s="281">
        <f t="shared" si="24"/>
        <v>218</v>
      </c>
      <c r="K21" s="281">
        <f t="shared" si="1"/>
        <v>2398</v>
      </c>
      <c r="L21" s="281">
        <f t="shared" si="2"/>
        <v>2616</v>
      </c>
      <c r="M21" s="281">
        <f t="shared" si="3"/>
        <v>2834</v>
      </c>
      <c r="N21" s="281">
        <f t="shared" si="4"/>
        <v>3052</v>
      </c>
      <c r="O21" s="281">
        <f t="shared" si="5"/>
        <v>3270</v>
      </c>
      <c r="P21" s="281">
        <f t="shared" si="6"/>
        <v>3488</v>
      </c>
      <c r="Q21" s="281">
        <f t="shared" si="7"/>
        <v>3706</v>
      </c>
      <c r="R21" s="282">
        <f t="shared" si="8"/>
        <v>4720.3829800000003</v>
      </c>
      <c r="S21" s="282">
        <f t="shared" si="9"/>
        <v>-2322.3829800000003</v>
      </c>
      <c r="T21" s="282">
        <f t="shared" si="10"/>
        <v>-2104.3829800000003</v>
      </c>
      <c r="U21" s="282">
        <f t="shared" si="11"/>
        <v>-1886.3829800000003</v>
      </c>
      <c r="V21" s="282">
        <f t="shared" si="12"/>
        <v>-1668.3829800000003</v>
      </c>
      <c r="W21" s="282">
        <f t="shared" si="13"/>
        <v>-1450.3829800000003</v>
      </c>
      <c r="X21" s="282">
        <f t="shared" si="14"/>
        <v>-1232.3829800000003</v>
      </c>
      <c r="Y21" s="282">
        <f t="shared" si="15"/>
        <v>-1014.3829800000003</v>
      </c>
      <c r="Z21" s="282">
        <f t="shared" si="16"/>
        <v>270</v>
      </c>
      <c r="AA21" s="282">
        <f t="shared" si="17"/>
        <v>-2592.3829800000003</v>
      </c>
      <c r="AB21" s="282">
        <f t="shared" si="18"/>
        <v>-2374.3829800000003</v>
      </c>
      <c r="AC21" s="282">
        <f t="shared" si="19"/>
        <v>-2156.3829800000003</v>
      </c>
      <c r="AD21" s="282">
        <f t="shared" si="20"/>
        <v>-1938.3829800000003</v>
      </c>
      <c r="AE21" s="282">
        <f t="shared" si="21"/>
        <v>-1720.3829800000003</v>
      </c>
      <c r="AF21" s="282">
        <f t="shared" si="22"/>
        <v>-1502.3829800000003</v>
      </c>
      <c r="AG21" s="282">
        <f t="shared" si="23"/>
        <v>-1284.3829800000003</v>
      </c>
    </row>
    <row r="22" spans="2:33" ht="17.25" customHeight="1" x14ac:dyDescent="0.2">
      <c r="B22" s="45" t="s">
        <v>136</v>
      </c>
      <c r="C22" s="46" t="s">
        <v>127</v>
      </c>
      <c r="D22" s="53">
        <v>1</v>
      </c>
      <c r="E22" s="54">
        <v>59.6</v>
      </c>
      <c r="F22" s="52">
        <f t="shared" si="25"/>
        <v>59.6</v>
      </c>
      <c r="G22" s="56"/>
      <c r="I22" s="280">
        <v>0.1</v>
      </c>
      <c r="J22" s="281">
        <f t="shared" si="24"/>
        <v>109</v>
      </c>
      <c r="K22" s="281">
        <f t="shared" si="1"/>
        <v>1199</v>
      </c>
      <c r="L22" s="281">
        <f t="shared" si="2"/>
        <v>1308</v>
      </c>
      <c r="M22" s="281">
        <f t="shared" si="3"/>
        <v>1417</v>
      </c>
      <c r="N22" s="281">
        <f t="shared" si="4"/>
        <v>1526</v>
      </c>
      <c r="O22" s="281">
        <f t="shared" si="5"/>
        <v>1635</v>
      </c>
      <c r="P22" s="281">
        <f t="shared" si="6"/>
        <v>1744</v>
      </c>
      <c r="Q22" s="281">
        <f t="shared" si="7"/>
        <v>1853</v>
      </c>
      <c r="R22" s="282">
        <f t="shared" si="8"/>
        <v>4223.1329800000003</v>
      </c>
      <c r="S22" s="282">
        <f t="shared" si="9"/>
        <v>-3024.1329800000003</v>
      </c>
      <c r="T22" s="282">
        <f t="shared" si="10"/>
        <v>-2915.1329800000003</v>
      </c>
      <c r="U22" s="282">
        <f t="shared" si="11"/>
        <v>-2806.1329800000003</v>
      </c>
      <c r="V22" s="282">
        <f t="shared" si="12"/>
        <v>-2697.1329800000003</v>
      </c>
      <c r="W22" s="282">
        <f t="shared" si="13"/>
        <v>-2588.1329800000003</v>
      </c>
      <c r="X22" s="282">
        <f t="shared" si="14"/>
        <v>-2479.1329800000003</v>
      </c>
      <c r="Y22" s="282">
        <f t="shared" si="15"/>
        <v>-2370.1329800000003</v>
      </c>
      <c r="Z22" s="282">
        <f t="shared" si="16"/>
        <v>135</v>
      </c>
      <c r="AA22" s="282">
        <f t="shared" si="17"/>
        <v>-3159.1329800000003</v>
      </c>
      <c r="AB22" s="282">
        <f t="shared" si="18"/>
        <v>-3050.1329800000003</v>
      </c>
      <c r="AC22" s="282">
        <f t="shared" si="19"/>
        <v>-2941.1329800000003</v>
      </c>
      <c r="AD22" s="282">
        <f t="shared" si="20"/>
        <v>-2832.1329800000003</v>
      </c>
      <c r="AE22" s="282">
        <f t="shared" si="21"/>
        <v>-2723.1329800000003</v>
      </c>
      <c r="AF22" s="282">
        <f t="shared" si="22"/>
        <v>-2614.1329800000003</v>
      </c>
      <c r="AG22" s="282">
        <f t="shared" si="23"/>
        <v>-2505.1329800000003</v>
      </c>
    </row>
    <row r="23" spans="2:33" ht="17.25" customHeight="1" x14ac:dyDescent="0.2">
      <c r="B23" s="45" t="s">
        <v>137</v>
      </c>
      <c r="C23" s="46" t="s">
        <v>127</v>
      </c>
      <c r="D23" s="53">
        <v>1</v>
      </c>
      <c r="E23" s="54">
        <v>36</v>
      </c>
      <c r="F23" s="52">
        <f t="shared" si="25"/>
        <v>36</v>
      </c>
      <c r="G23" s="63"/>
      <c r="I23" s="291">
        <v>0</v>
      </c>
      <c r="J23" s="292">
        <f t="shared" si="24"/>
        <v>0</v>
      </c>
      <c r="K23" s="292">
        <f t="shared" si="1"/>
        <v>0</v>
      </c>
      <c r="L23" s="292">
        <f t="shared" si="2"/>
        <v>0</v>
      </c>
      <c r="M23" s="292">
        <f t="shared" si="3"/>
        <v>0</v>
      </c>
      <c r="N23" s="292">
        <f t="shared" si="4"/>
        <v>0</v>
      </c>
      <c r="O23" s="292">
        <f t="shared" si="5"/>
        <v>0</v>
      </c>
      <c r="P23" s="292">
        <f t="shared" si="6"/>
        <v>0</v>
      </c>
      <c r="Q23" s="292">
        <f t="shared" si="7"/>
        <v>0</v>
      </c>
      <c r="R23" s="293">
        <f t="shared" si="8"/>
        <v>3725.8829800000003</v>
      </c>
      <c r="S23" s="293">
        <f t="shared" si="9"/>
        <v>-3725.8829800000003</v>
      </c>
      <c r="T23" s="293">
        <f t="shared" si="10"/>
        <v>-3725.8829800000003</v>
      </c>
      <c r="U23" s="293">
        <f t="shared" si="11"/>
        <v>-3725.8829800000003</v>
      </c>
      <c r="V23" s="293">
        <f t="shared" si="12"/>
        <v>-3725.8829800000003</v>
      </c>
      <c r="W23" s="293">
        <f t="shared" si="13"/>
        <v>-3725.8829800000003</v>
      </c>
      <c r="X23" s="293">
        <f t="shared" si="14"/>
        <v>-3725.8829800000003</v>
      </c>
      <c r="Y23" s="293">
        <f t="shared" si="15"/>
        <v>-3725.8829800000003</v>
      </c>
      <c r="Z23" s="293">
        <f t="shared" si="16"/>
        <v>0</v>
      </c>
      <c r="AA23" s="293">
        <f t="shared" si="17"/>
        <v>-3725.8829800000003</v>
      </c>
      <c r="AB23" s="293">
        <f t="shared" si="18"/>
        <v>-3725.8829800000003</v>
      </c>
      <c r="AC23" s="293">
        <f t="shared" si="19"/>
        <v>-3725.8829800000003</v>
      </c>
      <c r="AD23" s="293">
        <f t="shared" si="20"/>
        <v>-3725.8829800000003</v>
      </c>
      <c r="AE23" s="293">
        <f t="shared" si="21"/>
        <v>-3725.8829800000003</v>
      </c>
      <c r="AF23" s="293">
        <f t="shared" si="22"/>
        <v>-3725.8829800000003</v>
      </c>
      <c r="AG23" s="293">
        <f t="shared" si="23"/>
        <v>-3725.8829800000003</v>
      </c>
    </row>
    <row r="24" spans="2:33" ht="17.25" customHeight="1" x14ac:dyDescent="0.2">
      <c r="B24" s="45" t="s">
        <v>138</v>
      </c>
      <c r="C24" s="46" t="s">
        <v>127</v>
      </c>
      <c r="D24" s="53">
        <v>1</v>
      </c>
      <c r="E24" s="54">
        <v>33.36</v>
      </c>
      <c r="F24" s="52">
        <f t="shared" si="25"/>
        <v>33.36</v>
      </c>
      <c r="G24" s="63"/>
    </row>
    <row r="25" spans="2:33" ht="17.25" customHeight="1" x14ac:dyDescent="0.2">
      <c r="B25" s="45" t="s">
        <v>139</v>
      </c>
      <c r="C25" s="46" t="s">
        <v>127</v>
      </c>
      <c r="D25" s="53">
        <v>1</v>
      </c>
      <c r="E25" s="54">
        <v>38.159999999999997</v>
      </c>
      <c r="F25" s="52">
        <f t="shared" si="25"/>
        <v>38.159999999999997</v>
      </c>
      <c r="G25" s="63"/>
    </row>
    <row r="26" spans="2:33" ht="17.25" customHeight="1" x14ac:dyDescent="0.2">
      <c r="B26" s="45" t="s">
        <v>140</v>
      </c>
      <c r="C26" s="46" t="s">
        <v>127</v>
      </c>
      <c r="D26" s="53">
        <v>1</v>
      </c>
      <c r="E26" s="54">
        <v>300.48</v>
      </c>
      <c r="F26" s="52">
        <f t="shared" si="25"/>
        <v>300.48</v>
      </c>
      <c r="G26" s="56"/>
    </row>
    <row r="27" spans="2:33" ht="17.25" customHeight="1" x14ac:dyDescent="0.2">
      <c r="B27" s="45" t="s">
        <v>141</v>
      </c>
      <c r="C27" s="46" t="s">
        <v>142</v>
      </c>
      <c r="D27" s="53">
        <v>2.2000000000000002</v>
      </c>
      <c r="E27" s="54">
        <v>285</v>
      </c>
      <c r="F27" s="52">
        <f t="shared" si="25"/>
        <v>627</v>
      </c>
      <c r="G27" s="56"/>
    </row>
    <row r="28" spans="2:33" ht="17.25" customHeight="1" x14ac:dyDescent="0.2">
      <c r="B28" s="45" t="s">
        <v>143</v>
      </c>
      <c r="C28" s="46" t="s">
        <v>142</v>
      </c>
      <c r="D28" s="53">
        <v>1</v>
      </c>
      <c r="E28" s="54">
        <v>175</v>
      </c>
      <c r="F28" s="52">
        <f t="shared" si="25"/>
        <v>175</v>
      </c>
      <c r="G28" s="56"/>
    </row>
    <row r="29" spans="2:33" ht="17.25" customHeight="1" x14ac:dyDescent="0.2">
      <c r="B29" s="45" t="s">
        <v>144</v>
      </c>
      <c r="C29" s="46" t="s">
        <v>145</v>
      </c>
      <c r="D29" s="53">
        <v>6</v>
      </c>
      <c r="E29" s="54">
        <v>110</v>
      </c>
      <c r="F29" s="52">
        <f t="shared" si="25"/>
        <v>660</v>
      </c>
      <c r="G29" s="56"/>
    </row>
    <row r="30" spans="2:33" ht="17.25" customHeight="1" x14ac:dyDescent="0.2">
      <c r="B30" s="45" t="s">
        <v>146</v>
      </c>
      <c r="C30" s="46" t="s">
        <v>127</v>
      </c>
      <c r="D30" s="53">
        <v>1</v>
      </c>
      <c r="E30" s="54">
        <v>100</v>
      </c>
      <c r="F30" s="52">
        <f t="shared" si="25"/>
        <v>100</v>
      </c>
      <c r="G30" s="63"/>
    </row>
    <row r="31" spans="2:33" ht="17.25" customHeight="1" x14ac:dyDescent="0.2">
      <c r="B31" s="45" t="s">
        <v>147</v>
      </c>
      <c r="C31" s="46" t="s">
        <v>127</v>
      </c>
      <c r="D31" s="53">
        <v>1</v>
      </c>
      <c r="E31" s="54">
        <v>0</v>
      </c>
      <c r="F31" s="52">
        <f t="shared" si="25"/>
        <v>0</v>
      </c>
      <c r="G31" s="63"/>
    </row>
    <row r="32" spans="2:33" ht="17.25" customHeight="1" x14ac:dyDescent="0.2">
      <c r="D32" s="53"/>
      <c r="E32" s="54"/>
      <c r="F32" s="52"/>
    </row>
    <row r="33" spans="1:7" ht="17.25" customHeight="1" x14ac:dyDescent="0.2">
      <c r="B33" s="62" t="s">
        <v>148</v>
      </c>
      <c r="D33" s="53"/>
      <c r="E33" s="66"/>
      <c r="F33" s="52"/>
    </row>
    <row r="34" spans="1:7" ht="17.25" customHeight="1" x14ac:dyDescent="0.2">
      <c r="B34" s="45" t="s">
        <v>149</v>
      </c>
      <c r="C34" s="46" t="s">
        <v>127</v>
      </c>
      <c r="D34" s="53">
        <v>1</v>
      </c>
      <c r="E34" s="54">
        <v>27.22</v>
      </c>
      <c r="F34" s="52">
        <f t="shared" ref="F34:F39" si="26">D34*E34</f>
        <v>27.22</v>
      </c>
      <c r="G34" s="56"/>
    </row>
    <row r="35" spans="1:7" ht="17.25" customHeight="1" x14ac:dyDescent="0.2">
      <c r="B35" s="67" t="s">
        <v>150</v>
      </c>
      <c r="C35" s="68" t="s">
        <v>151</v>
      </c>
      <c r="D35" s="69">
        <v>107</v>
      </c>
      <c r="E35" s="70">
        <v>12</v>
      </c>
      <c r="F35" s="71">
        <f t="shared" si="26"/>
        <v>1284</v>
      </c>
      <c r="G35" s="63"/>
    </row>
    <row r="36" spans="1:7" ht="17.25" customHeight="1" x14ac:dyDescent="0.2">
      <c r="B36" s="67" t="s">
        <v>152</v>
      </c>
      <c r="C36" s="68" t="s">
        <v>153</v>
      </c>
      <c r="D36" s="69">
        <v>1090</v>
      </c>
      <c r="E36" s="70">
        <v>1.25</v>
      </c>
      <c r="F36" s="71">
        <f t="shared" si="26"/>
        <v>1362.5</v>
      </c>
      <c r="G36" s="63"/>
    </row>
    <row r="37" spans="1:7" ht="17.25" customHeight="1" x14ac:dyDescent="0.2">
      <c r="B37" s="67" t="s">
        <v>154</v>
      </c>
      <c r="C37" s="68" t="s">
        <v>153</v>
      </c>
      <c r="D37" s="69">
        <v>200</v>
      </c>
      <c r="E37" s="70">
        <v>4</v>
      </c>
      <c r="F37" s="71">
        <f t="shared" si="26"/>
        <v>800</v>
      </c>
      <c r="G37" s="63"/>
    </row>
    <row r="38" spans="1:7" ht="17.25" customHeight="1" x14ac:dyDescent="0.2">
      <c r="B38" s="67" t="s">
        <v>155</v>
      </c>
      <c r="C38" s="68" t="s">
        <v>156</v>
      </c>
      <c r="D38" s="69">
        <v>1090</v>
      </c>
      <c r="E38" s="70">
        <f>0.1*E10</f>
        <v>1.4000000000000001</v>
      </c>
      <c r="F38" s="71">
        <f t="shared" si="26"/>
        <v>1526.0000000000002</v>
      </c>
      <c r="G38" s="63"/>
    </row>
    <row r="39" spans="1:7" ht="17.25" customHeight="1" x14ac:dyDescent="0.2">
      <c r="B39" s="45" t="s">
        <v>157</v>
      </c>
      <c r="C39" s="46" t="s">
        <v>158</v>
      </c>
      <c r="D39" s="53">
        <f>(SUM(F15:F38)*6/12)</f>
        <v>3942.85</v>
      </c>
      <c r="E39" s="72">
        <v>0.04</v>
      </c>
      <c r="F39" s="52">
        <f t="shared" si="26"/>
        <v>157.714</v>
      </c>
      <c r="G39" s="56"/>
    </row>
    <row r="40" spans="1:7" ht="17.25" customHeight="1" x14ac:dyDescent="0.2">
      <c r="D40" s="53"/>
      <c r="E40" s="54"/>
      <c r="F40" s="52"/>
    </row>
    <row r="41" spans="1:7" ht="17.25" customHeight="1" x14ac:dyDescent="0.2">
      <c r="A41" s="73" t="s">
        <v>159</v>
      </c>
      <c r="B41" s="47" t="s">
        <v>95</v>
      </c>
      <c r="C41" s="74"/>
      <c r="D41" s="75"/>
      <c r="E41" s="66"/>
      <c r="F41" s="76">
        <f>SUM(F15:F39)</f>
        <v>8043.4139999999998</v>
      </c>
      <c r="G41" s="56"/>
    </row>
    <row r="42" spans="1:7" ht="17.25" customHeight="1" x14ac:dyDescent="0.2">
      <c r="D42" s="53"/>
      <c r="E42" s="54"/>
      <c r="F42" s="52"/>
    </row>
    <row r="43" spans="1:7" ht="17.25" customHeight="1" x14ac:dyDescent="0.2">
      <c r="A43" s="77" t="s">
        <v>160</v>
      </c>
      <c r="B43" s="78" t="s">
        <v>161</v>
      </c>
      <c r="C43" s="63"/>
      <c r="D43" s="79"/>
      <c r="E43" s="80"/>
      <c r="F43" s="81">
        <f>F10-F41</f>
        <v>7216.5860000000002</v>
      </c>
      <c r="G43" s="63"/>
    </row>
    <row r="44" spans="1:7" ht="17.25" customHeight="1" x14ac:dyDescent="0.2">
      <c r="A44" s="57"/>
      <c r="B44" s="58"/>
      <c r="C44" s="59"/>
      <c r="D44" s="82"/>
      <c r="E44" s="82"/>
      <c r="F44" s="59"/>
      <c r="G44" s="59"/>
    </row>
    <row r="45" spans="1:7" ht="17.25" customHeight="1" x14ac:dyDescent="0.2">
      <c r="A45" s="10" t="s">
        <v>162</v>
      </c>
      <c r="D45" s="53"/>
      <c r="E45" s="54"/>
      <c r="F45" s="52"/>
    </row>
    <row r="46" spans="1:7" ht="17.25" customHeight="1" x14ac:dyDescent="0.2">
      <c r="B46" s="45" t="s">
        <v>163</v>
      </c>
      <c r="C46" s="46" t="s">
        <v>127</v>
      </c>
      <c r="D46" s="53">
        <v>1</v>
      </c>
      <c r="E46" s="54">
        <v>33</v>
      </c>
      <c r="F46" s="52">
        <f>D46*E46</f>
        <v>33</v>
      </c>
      <c r="G46" s="56"/>
    </row>
    <row r="47" spans="1:7" ht="17.25" customHeight="1" x14ac:dyDescent="0.2">
      <c r="B47" s="45" t="s">
        <v>164</v>
      </c>
      <c r="C47" s="46" t="s">
        <v>158</v>
      </c>
      <c r="D47" s="53">
        <f>F41</f>
        <v>8043.4139999999998</v>
      </c>
      <c r="E47" s="72">
        <v>7.0000000000000007E-2</v>
      </c>
      <c r="F47" s="52">
        <f>D47*E47</f>
        <v>563.03898000000004</v>
      </c>
      <c r="G47" s="56"/>
    </row>
    <row r="48" spans="1:7" ht="17.25" customHeight="1" x14ac:dyDescent="0.2">
      <c r="B48" s="45" t="s">
        <v>165</v>
      </c>
      <c r="D48" s="53"/>
      <c r="E48" s="72"/>
      <c r="F48" s="52"/>
      <c r="G48" s="56"/>
    </row>
    <row r="49" spans="1:7" ht="17.25" customHeight="1" x14ac:dyDescent="0.2">
      <c r="B49" s="45" t="s">
        <v>166</v>
      </c>
      <c r="C49" s="46" t="s">
        <v>127</v>
      </c>
      <c r="D49" s="53">
        <v>1</v>
      </c>
      <c r="E49" s="54">
        <v>58.93</v>
      </c>
      <c r="F49" s="52">
        <f>D49*E49</f>
        <v>58.93</v>
      </c>
      <c r="G49" s="63"/>
    </row>
    <row r="50" spans="1:7" ht="17.25" customHeight="1" x14ac:dyDescent="0.2">
      <c r="B50" s="45" t="s">
        <v>167</v>
      </c>
      <c r="D50" s="83"/>
      <c r="E50" s="83"/>
    </row>
    <row r="51" spans="1:7" ht="17.25" customHeight="1" x14ac:dyDescent="0.2">
      <c r="D51" s="53"/>
      <c r="E51" s="54"/>
      <c r="F51" s="52"/>
    </row>
    <row r="52" spans="1:7" ht="17.25" customHeight="1" x14ac:dyDescent="0.2">
      <c r="A52" s="73" t="s">
        <v>168</v>
      </c>
      <c r="B52" s="47"/>
      <c r="C52" s="74"/>
      <c r="D52" s="75"/>
      <c r="E52" s="66"/>
      <c r="F52" s="76">
        <f>SUM(F46:F49)</f>
        <v>654.96897999999999</v>
      </c>
      <c r="G52" s="56"/>
    </row>
    <row r="53" spans="1:7" ht="17.25" customHeight="1" x14ac:dyDescent="0.2">
      <c r="D53" s="53"/>
      <c r="E53" s="54"/>
      <c r="F53" s="52"/>
    </row>
    <row r="54" spans="1:7" ht="17.25" customHeight="1" x14ac:dyDescent="0.2">
      <c r="D54" s="53"/>
      <c r="E54" s="54"/>
      <c r="F54" s="52"/>
    </row>
    <row r="55" spans="1:7" ht="17.25" customHeight="1" x14ac:dyDescent="0.2">
      <c r="A55" s="73" t="s">
        <v>169</v>
      </c>
      <c r="B55" s="47"/>
      <c r="C55" s="74"/>
      <c r="D55" s="75"/>
      <c r="E55" s="66"/>
      <c r="F55" s="84">
        <f>SUM(F41+F52)</f>
        <v>8698.3829800000003</v>
      </c>
      <c r="G55" s="56"/>
    </row>
    <row r="56" spans="1:7" ht="17.25" customHeight="1" x14ac:dyDescent="0.2">
      <c r="D56" s="53"/>
      <c r="E56" s="54"/>
      <c r="F56" s="52"/>
    </row>
    <row r="57" spans="1:7" ht="17.25" customHeight="1" x14ac:dyDescent="0.2">
      <c r="A57" s="257" t="s">
        <v>84</v>
      </c>
      <c r="B57" s="258"/>
      <c r="C57" s="74"/>
      <c r="D57" s="75"/>
      <c r="E57" s="66"/>
      <c r="F57" s="85">
        <f>F10-F55</f>
        <v>6561.6170199999997</v>
      </c>
      <c r="G57" s="56"/>
    </row>
    <row r="58" spans="1:7" ht="17.25" customHeight="1" x14ac:dyDescent="0.2">
      <c r="D58" s="53"/>
      <c r="E58" s="54"/>
      <c r="F58" s="52"/>
    </row>
    <row r="59" spans="1:7" ht="17.25" customHeight="1" x14ac:dyDescent="0.2">
      <c r="A59" s="31" t="s">
        <v>170</v>
      </c>
      <c r="B59" s="47"/>
      <c r="C59" s="74" t="s">
        <v>151</v>
      </c>
      <c r="D59" s="75">
        <v>90</v>
      </c>
      <c r="E59" s="66">
        <v>15</v>
      </c>
      <c r="F59" s="85">
        <f>D59*E59</f>
        <v>1350</v>
      </c>
    </row>
    <row r="60" spans="1:7" ht="17.25" customHeight="1" x14ac:dyDescent="0.2">
      <c r="D60" s="51"/>
      <c r="E60" s="52"/>
      <c r="F60" s="52"/>
    </row>
    <row r="61" spans="1:7" ht="17.25" customHeight="1" x14ac:dyDescent="0.2">
      <c r="A61" s="243" t="s">
        <v>85</v>
      </c>
      <c r="B61" s="244"/>
      <c r="C61" s="86"/>
      <c r="D61" s="87"/>
      <c r="E61" s="88"/>
      <c r="F61" s="81">
        <f>F57-F59</f>
        <v>5211.6170199999997</v>
      </c>
      <c r="G61" s="63"/>
    </row>
    <row r="62" spans="1:7" ht="17.25" customHeight="1" x14ac:dyDescent="0.2"/>
    <row r="63" spans="1:7" ht="17.25" customHeight="1" x14ac:dyDescent="0.2">
      <c r="A63" s="57"/>
      <c r="B63" s="58"/>
      <c r="C63" s="59"/>
      <c r="D63" s="59"/>
      <c r="E63" s="59"/>
      <c r="F63" s="59"/>
      <c r="G63" s="59"/>
    </row>
    <row r="64" spans="1:7" ht="17.25" customHeight="1" x14ac:dyDescent="0.2">
      <c r="A64" s="199" t="s">
        <v>171</v>
      </c>
      <c r="B64" s="245"/>
    </row>
    <row r="65" spans="2:7" ht="17.25" customHeight="1" x14ac:dyDescent="0.2"/>
    <row r="66" spans="2:7" ht="17.25" customHeight="1" x14ac:dyDescent="0.2"/>
    <row r="67" spans="2:7" ht="17.25" customHeight="1" x14ac:dyDescent="0.2"/>
    <row r="68" spans="2:7" ht="17.25" customHeight="1" x14ac:dyDescent="0.2">
      <c r="B68" s="246" t="s">
        <v>172</v>
      </c>
      <c r="C68" s="247"/>
      <c r="D68" s="247"/>
      <c r="E68" s="247"/>
      <c r="F68" s="247"/>
      <c r="G68" s="248"/>
    </row>
    <row r="69" spans="2:7" ht="17.25" customHeight="1" x14ac:dyDescent="0.2">
      <c r="B69" s="89"/>
      <c r="G69" s="90"/>
    </row>
    <row r="70" spans="2:7" ht="17.25" customHeight="1" x14ac:dyDescent="0.2">
      <c r="B70" s="91" t="s">
        <v>173</v>
      </c>
      <c r="C70" s="249" t="s">
        <v>174</v>
      </c>
      <c r="D70" s="250"/>
      <c r="E70" s="250"/>
      <c r="F70" s="250"/>
      <c r="G70" s="251"/>
    </row>
    <row r="71" spans="2:7" ht="17.25" customHeight="1" x14ac:dyDescent="0.2">
      <c r="B71" s="92"/>
      <c r="C71" s="56">
        <f>E71*0.85</f>
        <v>11.9</v>
      </c>
      <c r="D71" s="56">
        <f>E71*0.9</f>
        <v>12.6</v>
      </c>
      <c r="E71" s="56">
        <v>14</v>
      </c>
      <c r="F71" s="56">
        <f>E71*1.1</f>
        <v>15.400000000000002</v>
      </c>
      <c r="G71" s="93">
        <f>E71*1.15</f>
        <v>16.099999999999998</v>
      </c>
    </row>
    <row r="72" spans="2:7" ht="17.25" customHeight="1" x14ac:dyDescent="0.2">
      <c r="B72" s="94" t="s">
        <v>175</v>
      </c>
      <c r="C72" s="52"/>
      <c r="D72" s="52"/>
      <c r="E72" s="52"/>
      <c r="F72" s="52"/>
      <c r="G72" s="95"/>
    </row>
    <row r="73" spans="2:7" ht="17.25" customHeight="1" x14ac:dyDescent="0.2">
      <c r="B73" s="96">
        <f>B77*0.85</f>
        <v>926.5</v>
      </c>
      <c r="C73" s="52">
        <f>(($B73*C$71))-($F$41-$F$36-$F$38)-($B73*$E$36)-($B73*$E$38)</f>
        <v>3415.2110000000002</v>
      </c>
      <c r="D73" s="52">
        <f>(($B73*D$71))-($F$41-$F$36-$F$38)-($B73*$E$36)-($B73*$E$38)</f>
        <v>4063.7609999999995</v>
      </c>
      <c r="E73" s="52">
        <f>(($B73*E$71))-($F$41-$F$36-$F$38)-($B73*$E$36)-($B73*$E$38)</f>
        <v>5360.8609999999999</v>
      </c>
      <c r="F73" s="52">
        <f>(($B73*F$71))-($F$41-$F$36-$F$38)-($B73*$E$36)-($B73*$E$38)</f>
        <v>6657.9610000000011</v>
      </c>
      <c r="G73" s="97">
        <f>(($B73*G$71))-($F$41-$F$36-$F$38)-($B73*$E$36)-($B73*$E$38)</f>
        <v>7306.5109999999968</v>
      </c>
    </row>
    <row r="74" spans="2:7" ht="17.25" customHeight="1" x14ac:dyDescent="0.2">
      <c r="B74" s="94" t="s">
        <v>176</v>
      </c>
      <c r="C74" s="52"/>
      <c r="D74" s="52"/>
      <c r="E74" s="52"/>
      <c r="F74" s="52"/>
      <c r="G74" s="97"/>
    </row>
    <row r="75" spans="2:7" ht="17.25" customHeight="1" x14ac:dyDescent="0.2">
      <c r="B75" s="98">
        <f>B77*0.9</f>
        <v>981</v>
      </c>
      <c r="C75" s="52">
        <f>(($B75*C$71))-($F$41-$F$36-$F$38)-($B75*$E$36)-($B75*$E$38)</f>
        <v>3919.3359999999998</v>
      </c>
      <c r="D75" s="52">
        <f>(($B75*D$71))-($F$41-$F$36-$F$38)-($B75*$E$36)-($B75*$E$38)</f>
        <v>4606.0360000000001</v>
      </c>
      <c r="E75" s="52">
        <f>(($B75*E$71))-($F$41-$F$36-$F$38)-($B75*$E$36)-($B75*$E$38)</f>
        <v>5979.4359999999997</v>
      </c>
      <c r="F75" s="52">
        <f>(($B75*F$71))-($F$41-$F$36-$F$38)-($B75*$E$36)-($B75*$E$38)</f>
        <v>7352.8360000000011</v>
      </c>
      <c r="G75" s="97">
        <f>(($B75*G$71))-($F$41-$F$36-$F$38)-($B75*$E$36)-($B75*$E$38)</f>
        <v>8039.5359999999982</v>
      </c>
    </row>
    <row r="76" spans="2:7" ht="17.25" customHeight="1" x14ac:dyDescent="0.2">
      <c r="B76" s="94" t="s">
        <v>177</v>
      </c>
      <c r="C76" s="52"/>
      <c r="D76" s="52"/>
      <c r="E76" s="52"/>
      <c r="F76" s="52"/>
      <c r="G76" s="97"/>
    </row>
    <row r="77" spans="2:7" ht="17.25" customHeight="1" x14ac:dyDescent="0.2">
      <c r="B77" s="98">
        <v>1090</v>
      </c>
      <c r="C77" s="52">
        <f>(($B77*C$71))-($F$41-$F$36-$F$38)-($B77*$E$36)-($B77*$E$38)</f>
        <v>4927.5860000000002</v>
      </c>
      <c r="D77" s="52">
        <f>(($B77*D$71))-($F$41-$F$36-$F$38)-($B77*$E$36)-($B77*$E$38)</f>
        <v>5690.5859999999993</v>
      </c>
      <c r="E77" s="99">
        <f>(($B77*E$71))-($F$41-$F$36-$F$38)-($B77*$E$36)-($B77*$E$38)</f>
        <v>7216.5859999999993</v>
      </c>
      <c r="F77" s="52">
        <f>(($B77*F$71))-($F$41-$F$36-$F$38)-($B77*$E$36)-($B77*$E$38)</f>
        <v>8742.586000000003</v>
      </c>
      <c r="G77" s="97">
        <f>(($B77*G$71))-($F$41-$F$36-$F$38)-($B77*$E$36)-($B77*$E$38)</f>
        <v>9505.5859999999957</v>
      </c>
    </row>
    <row r="78" spans="2:7" ht="17.25" customHeight="1" x14ac:dyDescent="0.2">
      <c r="B78" s="94" t="s">
        <v>178</v>
      </c>
      <c r="C78" s="52"/>
      <c r="D78" s="52"/>
      <c r="E78" s="52"/>
      <c r="F78" s="52"/>
      <c r="G78" s="97"/>
    </row>
    <row r="79" spans="2:7" ht="17.25" customHeight="1" x14ac:dyDescent="0.2">
      <c r="B79" s="98">
        <f>B77*1.1</f>
        <v>1199</v>
      </c>
      <c r="C79" s="52">
        <f>(($B79*C$71))-($F$41-$F$36-$F$38)-($B79*$E$36)-($B79*$E$38)</f>
        <v>5935.8360000000011</v>
      </c>
      <c r="D79" s="52">
        <f>(($B79*D$71))-($F$41-$F$36-$F$38)-($B79*$E$36)-($B79*$E$38)</f>
        <v>6775.1360000000004</v>
      </c>
      <c r="E79" s="52">
        <f>(($B79*E$71))-($F$41-$F$36-$F$38)-($B79*$E$36)-($B79*$E$38)</f>
        <v>8453.735999999999</v>
      </c>
      <c r="F79" s="52">
        <f>(($B79*F$71))-($F$41-$F$36-$F$38)-($B79*$E$36)-($B79*$E$38)</f>
        <v>10132.336000000001</v>
      </c>
      <c r="G79" s="97">
        <f>(($B79*G$71))-($F$41-$F$36-$F$38)-($B79*$E$36)-($B79*$E$38)</f>
        <v>10971.635999999997</v>
      </c>
    </row>
    <row r="80" spans="2:7" ht="17.25" customHeight="1" x14ac:dyDescent="0.2">
      <c r="B80" s="94" t="s">
        <v>179</v>
      </c>
      <c r="C80" s="52"/>
      <c r="D80" s="52"/>
      <c r="E80" s="52"/>
      <c r="F80" s="52"/>
      <c r="G80" s="97"/>
    </row>
    <row r="81" spans="1:33" ht="17.25" customHeight="1" x14ac:dyDescent="0.2">
      <c r="B81" s="96">
        <f>B77*1.15</f>
        <v>1253.5</v>
      </c>
      <c r="C81" s="52">
        <f>(($B81*C$71))-($F$41-$F$36-$F$38)-($B81*$E$36)-($B81*$E$38)</f>
        <v>6439.9610000000011</v>
      </c>
      <c r="D81" s="52">
        <f>(($B81*D$71))-($F$41-$F$36-$F$38)-($B81*$E$36)-($B81*$E$38)</f>
        <v>7317.4110000000019</v>
      </c>
      <c r="E81" s="52">
        <f>(($B81*E$71))-($F$41-$F$36-$F$38)-($B81*$E$36)-($B81*$E$38)</f>
        <v>9072.3109999999997</v>
      </c>
      <c r="F81" s="52">
        <f>(($B81*F$71))-($F$41-$F$36-$F$38)-($B81*$E$36)-($B81*$E$38)</f>
        <v>10827.211000000001</v>
      </c>
      <c r="G81" s="97">
        <f>(($B81*G$71))-($F$41-$F$36-$F$38)-($B81*$E$36)-($B81*$E$38)</f>
        <v>11704.660999999998</v>
      </c>
    </row>
    <row r="82" spans="1:33" ht="17.25" customHeight="1" x14ac:dyDescent="0.2">
      <c r="B82" s="100"/>
      <c r="C82" s="101"/>
      <c r="D82" s="101"/>
      <c r="E82" s="101"/>
      <c r="F82" s="101"/>
      <c r="G82" s="102"/>
    </row>
    <row r="83" spans="1:33" ht="17.25" customHeight="1" x14ac:dyDescent="0.2"/>
    <row r="84" spans="1:33" ht="17.25" customHeight="1" x14ac:dyDescent="0.2"/>
    <row r="85" spans="1:33" s="103" customFormat="1" ht="17.25" customHeight="1" x14ac:dyDescent="0.2">
      <c r="A85" s="252" t="s">
        <v>180</v>
      </c>
      <c r="B85" s="253"/>
      <c r="C85" s="254"/>
      <c r="D85" s="254"/>
      <c r="E85" s="254"/>
      <c r="F85" s="254"/>
      <c r="G85" s="254"/>
      <c r="H85" s="255"/>
      <c r="I85" s="104"/>
      <c r="J85" s="105"/>
      <c r="K85" s="105"/>
      <c r="L85" s="105"/>
      <c r="M85" s="105"/>
      <c r="N85" s="105"/>
      <c r="O85" s="105"/>
      <c r="P85" s="105"/>
      <c r="Q85" s="105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</row>
    <row r="86" spans="1:33" s="103" customFormat="1" ht="17.25" customHeight="1" x14ac:dyDescent="0.2">
      <c r="A86" s="255"/>
      <c r="B86" s="253"/>
      <c r="C86" s="254"/>
      <c r="D86" s="254"/>
      <c r="E86" s="254"/>
      <c r="F86" s="254"/>
      <c r="G86" s="254"/>
      <c r="H86" s="255"/>
      <c r="I86" s="104"/>
      <c r="J86" s="105"/>
      <c r="K86" s="105"/>
      <c r="L86" s="105"/>
      <c r="M86" s="105"/>
      <c r="N86" s="105"/>
      <c r="O86" s="105"/>
      <c r="P86" s="105"/>
      <c r="Q86" s="105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</row>
    <row r="87" spans="1:33" ht="17.25" customHeight="1" x14ac:dyDescent="0.2">
      <c r="A87" s="240" t="s">
        <v>181</v>
      </c>
      <c r="B87" s="241"/>
      <c r="C87" s="242"/>
      <c r="D87" s="242"/>
      <c r="E87" s="242"/>
      <c r="F87" s="242"/>
      <c r="G87" s="242"/>
      <c r="H87" s="240"/>
    </row>
  </sheetData>
  <mergeCells count="11">
    <mergeCell ref="S1:Y1"/>
    <mergeCell ref="AA1:AG1"/>
    <mergeCell ref="A4:B4"/>
    <mergeCell ref="A5:B5"/>
    <mergeCell ref="A57:B57"/>
    <mergeCell ref="A87:H87"/>
    <mergeCell ref="A61:B61"/>
    <mergeCell ref="A64:B64"/>
    <mergeCell ref="B68:G68"/>
    <mergeCell ref="C70:G70"/>
    <mergeCell ref="A85:H8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337"/>
  <sheetViews>
    <sheetView workbookViewId="0">
      <pane ySplit="1" topLeftCell="A72" activePane="bottomLeft" state="frozen"/>
      <selection pane="bottomLeft" activeCell="L83" sqref="L83"/>
    </sheetView>
  </sheetViews>
  <sheetFormatPr baseColWidth="10" defaultColWidth="8.83203125" defaultRowHeight="15" x14ac:dyDescent="0.2"/>
  <cols>
    <col min="1" max="1" width="19.33203125" style="5" bestFit="1" customWidth="1"/>
    <col min="2" max="2" width="16.1640625" style="5" bestFit="1" customWidth="1"/>
    <col min="3" max="3" width="12.6640625" style="5" bestFit="1" customWidth="1"/>
    <col min="4" max="4" width="16.5" style="10" bestFit="1" customWidth="1"/>
    <col min="5" max="5" width="13.33203125" style="5" bestFit="1" customWidth="1"/>
    <col min="6" max="6" width="15.1640625" style="10" bestFit="1" customWidth="1"/>
    <col min="7" max="7" width="23.83203125" style="6" bestFit="1" customWidth="1"/>
    <col min="8" max="8" width="22.1640625" style="5" bestFit="1" customWidth="1"/>
  </cols>
  <sheetData>
    <row r="1" spans="1:8" ht="17.25" customHeight="1" x14ac:dyDescent="0.2">
      <c r="A1" s="4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3" t="s">
        <v>5</v>
      </c>
      <c r="G1" s="44" t="s">
        <v>6</v>
      </c>
      <c r="H1" s="42" t="s">
        <v>7</v>
      </c>
    </row>
    <row r="2" spans="1:8" ht="17.25" hidden="1" customHeight="1" x14ac:dyDescent="0.2">
      <c r="A2" s="1">
        <v>1</v>
      </c>
      <c r="B2" s="1">
        <v>885</v>
      </c>
      <c r="C2" s="1">
        <v>1</v>
      </c>
      <c r="D2" s="2" t="s">
        <v>8</v>
      </c>
      <c r="E2" s="1">
        <v>35801</v>
      </c>
      <c r="F2" s="2" t="s">
        <v>11</v>
      </c>
      <c r="G2" s="3">
        <v>423.73710691331252</v>
      </c>
      <c r="H2" s="1">
        <v>672887</v>
      </c>
    </row>
    <row r="3" spans="1:8" ht="17.25" hidden="1" customHeight="1" x14ac:dyDescent="0.2">
      <c r="A3" s="3">
        <v>0.95</v>
      </c>
      <c r="B3" s="1">
        <v>826</v>
      </c>
      <c r="C3" s="1">
        <v>1</v>
      </c>
      <c r="D3" s="2" t="s">
        <v>8</v>
      </c>
      <c r="E3" s="1">
        <v>35801</v>
      </c>
      <c r="F3" s="2" t="s">
        <v>11</v>
      </c>
      <c r="G3" s="3">
        <v>395.48796645242498</v>
      </c>
      <c r="H3" s="1">
        <v>628029</v>
      </c>
    </row>
    <row r="4" spans="1:8" ht="17.25" hidden="1" customHeight="1" x14ac:dyDescent="0.2">
      <c r="A4" s="3">
        <v>0.9</v>
      </c>
      <c r="B4" s="1">
        <v>767</v>
      </c>
      <c r="C4" s="1">
        <v>1</v>
      </c>
      <c r="D4" s="2" t="s">
        <v>8</v>
      </c>
      <c r="E4" s="1">
        <v>35801</v>
      </c>
      <c r="F4" s="2" t="s">
        <v>11</v>
      </c>
      <c r="G4" s="3">
        <v>367.23882599153751</v>
      </c>
      <c r="H4" s="1">
        <v>583171</v>
      </c>
    </row>
    <row r="5" spans="1:8" ht="17.25" hidden="1" customHeight="1" x14ac:dyDescent="0.2">
      <c r="A5" s="3">
        <v>0.75</v>
      </c>
      <c r="B5" s="1">
        <v>649</v>
      </c>
      <c r="C5" s="1">
        <v>1</v>
      </c>
      <c r="D5" s="2" t="s">
        <v>10</v>
      </c>
      <c r="E5" s="1">
        <v>36117</v>
      </c>
      <c r="F5" s="2" t="s">
        <v>11</v>
      </c>
      <c r="G5" s="3">
        <v>310.7405450697625</v>
      </c>
      <c r="H5" s="1">
        <v>534002</v>
      </c>
    </row>
    <row r="6" spans="1:8" ht="17.25" hidden="1" customHeight="1" x14ac:dyDescent="0.2">
      <c r="A6" s="3">
        <v>0.75</v>
      </c>
      <c r="B6" s="1">
        <v>649</v>
      </c>
      <c r="C6" s="1">
        <v>2</v>
      </c>
      <c r="D6" s="2" t="s">
        <v>10</v>
      </c>
      <c r="E6" s="1">
        <v>36040</v>
      </c>
      <c r="F6" s="2" t="s">
        <v>11</v>
      </c>
      <c r="G6" s="3">
        <v>310.7405450697625</v>
      </c>
      <c r="H6" s="1">
        <v>515824</v>
      </c>
    </row>
    <row r="7" spans="1:8" ht="17.25" hidden="1" customHeight="1" x14ac:dyDescent="0.2">
      <c r="A7" s="3">
        <v>0.8</v>
      </c>
      <c r="B7" s="1">
        <v>708</v>
      </c>
      <c r="C7" s="1">
        <v>1</v>
      </c>
      <c r="D7" s="2" t="s">
        <v>10</v>
      </c>
      <c r="E7" s="1">
        <v>36117</v>
      </c>
      <c r="F7" s="2" t="s">
        <v>11</v>
      </c>
      <c r="G7" s="3">
        <v>338.98968553065004</v>
      </c>
      <c r="H7" s="1">
        <v>582547</v>
      </c>
    </row>
    <row r="8" spans="1:8" ht="17.25" hidden="1" customHeight="1" x14ac:dyDescent="0.2">
      <c r="A8" s="3">
        <v>0.7</v>
      </c>
      <c r="B8" s="1">
        <v>590</v>
      </c>
      <c r="C8" s="1">
        <v>1</v>
      </c>
      <c r="D8" s="2" t="s">
        <v>8</v>
      </c>
      <c r="E8" s="1">
        <v>35801</v>
      </c>
      <c r="F8" s="2" t="s">
        <v>11</v>
      </c>
      <c r="G8" s="3">
        <v>282.49140460887497</v>
      </c>
      <c r="H8" s="1">
        <v>448596</v>
      </c>
    </row>
    <row r="9" spans="1:8" ht="17.25" hidden="1" customHeight="1" x14ac:dyDescent="0.2">
      <c r="A9" s="3">
        <v>0.65</v>
      </c>
      <c r="B9" s="1">
        <v>531</v>
      </c>
      <c r="C9" s="1">
        <v>1</v>
      </c>
      <c r="D9" s="2" t="s">
        <v>8</v>
      </c>
      <c r="E9" s="1">
        <v>35801</v>
      </c>
      <c r="F9" s="2" t="s">
        <v>11</v>
      </c>
      <c r="G9" s="3">
        <v>254.2422641479875</v>
      </c>
      <c r="H9" s="1">
        <v>403736</v>
      </c>
    </row>
    <row r="10" spans="1:8" ht="17.25" hidden="1" customHeight="1" x14ac:dyDescent="0.2">
      <c r="A10" s="3">
        <v>0.6</v>
      </c>
      <c r="B10" s="1">
        <v>531</v>
      </c>
      <c r="C10" s="1">
        <v>1</v>
      </c>
      <c r="D10" s="2" t="s">
        <v>8</v>
      </c>
      <c r="E10" s="1">
        <v>35801</v>
      </c>
      <c r="F10" s="2" t="s">
        <v>11</v>
      </c>
      <c r="G10" s="3">
        <v>254.2422641479875</v>
      </c>
      <c r="H10" s="1">
        <v>403736</v>
      </c>
    </row>
    <row r="11" spans="1:8" ht="17.25" hidden="1" customHeight="1" x14ac:dyDescent="0.2">
      <c r="A11" s="3">
        <v>0.55000000000000004</v>
      </c>
      <c r="B11" s="1">
        <v>472</v>
      </c>
      <c r="C11" s="1">
        <v>1</v>
      </c>
      <c r="D11" s="2" t="s">
        <v>8</v>
      </c>
      <c r="E11" s="1">
        <v>35801</v>
      </c>
      <c r="F11" s="2" t="s">
        <v>11</v>
      </c>
      <c r="G11" s="3">
        <v>225.99312368709997</v>
      </c>
      <c r="H11" s="1">
        <v>358878</v>
      </c>
    </row>
    <row r="12" spans="1:8" ht="17.25" hidden="1" customHeight="1" x14ac:dyDescent="0.2">
      <c r="A12" s="3">
        <v>0.5</v>
      </c>
      <c r="B12" s="1">
        <v>413</v>
      </c>
      <c r="C12" s="1">
        <v>1</v>
      </c>
      <c r="D12" s="2" t="s">
        <v>8</v>
      </c>
      <c r="E12" s="1">
        <v>35801</v>
      </c>
      <c r="F12" s="2" t="s">
        <v>11</v>
      </c>
      <c r="G12" s="3">
        <v>197.74398322621249</v>
      </c>
      <c r="H12" s="1">
        <v>314019</v>
      </c>
    </row>
    <row r="13" spans="1:8" ht="17.25" hidden="1" customHeight="1" x14ac:dyDescent="0.2">
      <c r="A13" s="3">
        <v>0.45</v>
      </c>
      <c r="B13" s="1">
        <v>354</v>
      </c>
      <c r="C13" s="1">
        <v>1</v>
      </c>
      <c r="D13" s="2" t="s">
        <v>8</v>
      </c>
      <c r="E13" s="1">
        <v>35801</v>
      </c>
      <c r="F13" s="2" t="s">
        <v>11</v>
      </c>
      <c r="G13" s="3">
        <v>169.49484276532502</v>
      </c>
      <c r="H13" s="1">
        <v>269160</v>
      </c>
    </row>
    <row r="14" spans="1:8" ht="17.25" hidden="1" customHeight="1" x14ac:dyDescent="0.2">
      <c r="A14" s="3">
        <v>0.4</v>
      </c>
      <c r="B14" s="1">
        <v>354</v>
      </c>
      <c r="C14" s="1">
        <v>1</v>
      </c>
      <c r="D14" s="2" t="s">
        <v>8</v>
      </c>
      <c r="E14" s="1">
        <v>35801</v>
      </c>
      <c r="F14" s="2" t="s">
        <v>11</v>
      </c>
      <c r="G14" s="3">
        <v>169.49484276532502</v>
      </c>
      <c r="H14" s="1">
        <v>269160</v>
      </c>
    </row>
    <row r="15" spans="1:8" ht="17.25" hidden="1" customHeight="1" x14ac:dyDescent="0.2">
      <c r="A15" s="3">
        <v>0.35</v>
      </c>
      <c r="B15" s="1">
        <v>295</v>
      </c>
      <c r="C15" s="1">
        <v>1</v>
      </c>
      <c r="D15" s="2" t="s">
        <v>8</v>
      </c>
      <c r="E15" s="1">
        <v>35801</v>
      </c>
      <c r="F15" s="2" t="s">
        <v>11</v>
      </c>
      <c r="G15" s="3">
        <v>141.24570230443749</v>
      </c>
      <c r="H15" s="1">
        <v>224316</v>
      </c>
    </row>
    <row r="16" spans="1:8" ht="17.25" hidden="1" customHeight="1" x14ac:dyDescent="0.2">
      <c r="A16" s="3">
        <v>0.3</v>
      </c>
      <c r="B16" s="1">
        <v>236</v>
      </c>
      <c r="C16" s="1">
        <v>1</v>
      </c>
      <c r="D16" s="2" t="s">
        <v>8</v>
      </c>
      <c r="E16" s="1">
        <v>35801</v>
      </c>
      <c r="F16" s="2" t="s">
        <v>11</v>
      </c>
      <c r="G16" s="3">
        <v>112.99656184354998</v>
      </c>
      <c r="H16" s="1">
        <v>179456</v>
      </c>
    </row>
    <row r="17" spans="1:8" ht="17.25" hidden="1" customHeight="1" x14ac:dyDescent="0.2">
      <c r="A17" s="3">
        <v>0.25</v>
      </c>
      <c r="B17" s="1">
        <v>177</v>
      </c>
      <c r="C17" s="1">
        <v>1</v>
      </c>
      <c r="D17" s="2" t="s">
        <v>8</v>
      </c>
      <c r="E17" s="1">
        <v>35801</v>
      </c>
      <c r="F17" s="2" t="s">
        <v>11</v>
      </c>
      <c r="G17" s="3">
        <v>84.747421382662509</v>
      </c>
      <c r="H17" s="1">
        <v>134596</v>
      </c>
    </row>
    <row r="18" spans="1:8" ht="17.25" hidden="1" customHeight="1" x14ac:dyDescent="0.2">
      <c r="A18" s="3">
        <v>0.2</v>
      </c>
      <c r="B18" s="1">
        <v>177</v>
      </c>
      <c r="C18" s="1">
        <v>1</v>
      </c>
      <c r="D18" s="2" t="s">
        <v>8</v>
      </c>
      <c r="E18" s="1">
        <v>35801</v>
      </c>
      <c r="F18" s="2" t="s">
        <v>11</v>
      </c>
      <c r="G18" s="3">
        <v>84.747421382662509</v>
      </c>
      <c r="H18" s="1">
        <v>134596</v>
      </c>
    </row>
    <row r="19" spans="1:8" ht="17.25" hidden="1" customHeight="1" x14ac:dyDescent="0.2">
      <c r="A19" s="3">
        <v>0.15</v>
      </c>
      <c r="B19" s="1">
        <v>118</v>
      </c>
      <c r="C19" s="1">
        <v>1</v>
      </c>
      <c r="D19" s="2" t="s">
        <v>8</v>
      </c>
      <c r="E19" s="1">
        <v>35801</v>
      </c>
      <c r="F19" s="2" t="s">
        <v>11</v>
      </c>
      <c r="G19" s="3">
        <v>56.498280921774992</v>
      </c>
      <c r="H19" s="1">
        <v>89735</v>
      </c>
    </row>
    <row r="20" spans="1:8" ht="17.25" hidden="1" customHeight="1" x14ac:dyDescent="0.2">
      <c r="A20" s="3">
        <v>0.1</v>
      </c>
      <c r="B20" s="1">
        <v>59</v>
      </c>
      <c r="C20" s="1">
        <v>1</v>
      </c>
      <c r="D20" s="2" t="s">
        <v>8</v>
      </c>
      <c r="E20" s="1">
        <v>35801</v>
      </c>
      <c r="F20" s="2" t="s">
        <v>11</v>
      </c>
      <c r="G20" s="3">
        <v>28.249140460887496</v>
      </c>
      <c r="H20" s="1">
        <v>44872</v>
      </c>
    </row>
    <row r="21" spans="1:8" ht="17.25" hidden="1" customHeight="1" x14ac:dyDescent="0.2">
      <c r="A21" s="3">
        <v>0.05</v>
      </c>
      <c r="B21" s="1">
        <v>0</v>
      </c>
      <c r="C21" s="1">
        <v>1</v>
      </c>
      <c r="D21" s="2" t="s">
        <v>8</v>
      </c>
      <c r="E21" s="1">
        <v>35801</v>
      </c>
      <c r="F21" s="2" t="s">
        <v>11</v>
      </c>
      <c r="G21" s="3">
        <v>0</v>
      </c>
      <c r="H21" s="1">
        <v>0</v>
      </c>
    </row>
    <row r="22" spans="1:8" ht="17.25" hidden="1" customHeight="1" x14ac:dyDescent="0.2">
      <c r="A22" s="1">
        <v>0</v>
      </c>
      <c r="B22" s="1">
        <v>0</v>
      </c>
      <c r="C22" s="1">
        <v>1</v>
      </c>
      <c r="D22" s="2" t="s">
        <v>8</v>
      </c>
      <c r="E22" s="1">
        <v>35801</v>
      </c>
      <c r="F22" s="2" t="s">
        <v>11</v>
      </c>
      <c r="G22" s="3">
        <v>0</v>
      </c>
      <c r="H22" s="1">
        <v>0</v>
      </c>
    </row>
    <row r="23" spans="1:8" ht="17.25" hidden="1" customHeight="1" x14ac:dyDescent="0.2">
      <c r="A23" s="1">
        <v>1</v>
      </c>
      <c r="B23" s="1">
        <v>885</v>
      </c>
      <c r="C23" s="1">
        <v>1</v>
      </c>
      <c r="D23" s="2" t="s">
        <v>8</v>
      </c>
      <c r="E23" s="1">
        <v>35801</v>
      </c>
      <c r="F23" s="2" t="s">
        <v>9</v>
      </c>
      <c r="G23" s="3">
        <v>423.73710691331252</v>
      </c>
      <c r="H23" s="1">
        <v>585225</v>
      </c>
    </row>
    <row r="24" spans="1:8" ht="17.25" hidden="1" customHeight="1" x14ac:dyDescent="0.2">
      <c r="A24" s="3">
        <v>0.95</v>
      </c>
      <c r="B24" s="1">
        <v>826</v>
      </c>
      <c r="C24" s="1">
        <v>1</v>
      </c>
      <c r="D24" s="2" t="s">
        <v>8</v>
      </c>
      <c r="E24" s="1">
        <v>35801</v>
      </c>
      <c r="F24" s="2" t="s">
        <v>9</v>
      </c>
      <c r="G24" s="3">
        <v>395.48796645242498</v>
      </c>
      <c r="H24" s="1">
        <v>546209</v>
      </c>
    </row>
    <row r="25" spans="1:8" ht="17.25" hidden="1" customHeight="1" x14ac:dyDescent="0.2">
      <c r="A25" s="3">
        <v>0.9</v>
      </c>
      <c r="B25" s="1">
        <v>767</v>
      </c>
      <c r="C25" s="1">
        <v>1</v>
      </c>
      <c r="D25" s="2" t="s">
        <v>8</v>
      </c>
      <c r="E25" s="1">
        <v>35801</v>
      </c>
      <c r="F25" s="2" t="s">
        <v>9</v>
      </c>
      <c r="G25" s="3">
        <v>367.23882599153751</v>
      </c>
      <c r="H25" s="1">
        <v>507194</v>
      </c>
    </row>
    <row r="26" spans="1:8" ht="17.25" hidden="1" customHeight="1" x14ac:dyDescent="0.2">
      <c r="A26" s="3">
        <v>0.85</v>
      </c>
      <c r="B26" s="1">
        <v>708</v>
      </c>
      <c r="C26" s="1">
        <v>1</v>
      </c>
      <c r="D26" s="2" t="s">
        <v>8</v>
      </c>
      <c r="E26" s="1">
        <v>35801</v>
      </c>
      <c r="F26" s="2" t="s">
        <v>9</v>
      </c>
      <c r="G26" s="3">
        <v>338.98968553065004</v>
      </c>
      <c r="H26" s="1">
        <v>468179</v>
      </c>
    </row>
    <row r="27" spans="1:8" ht="17.25" hidden="1" customHeight="1" x14ac:dyDescent="0.2">
      <c r="A27" s="3">
        <v>0.8</v>
      </c>
      <c r="B27" s="1">
        <v>708</v>
      </c>
      <c r="C27" s="1">
        <v>1</v>
      </c>
      <c r="D27" s="2" t="s">
        <v>8</v>
      </c>
      <c r="E27" s="1">
        <v>35801</v>
      </c>
      <c r="F27" s="2" t="s">
        <v>9</v>
      </c>
      <c r="G27" s="3">
        <v>338.98968553065004</v>
      </c>
      <c r="H27" s="1">
        <v>468179</v>
      </c>
    </row>
    <row r="28" spans="1:8" ht="17.25" hidden="1" customHeight="1" x14ac:dyDescent="0.2">
      <c r="A28" s="3">
        <v>0.75</v>
      </c>
      <c r="B28" s="1">
        <v>649</v>
      </c>
      <c r="C28" s="1">
        <v>1</v>
      </c>
      <c r="D28" s="2" t="s">
        <v>8</v>
      </c>
      <c r="E28" s="1">
        <v>35801</v>
      </c>
      <c r="F28" s="2" t="s">
        <v>9</v>
      </c>
      <c r="G28" s="3">
        <v>310.7405450697625</v>
      </c>
      <c r="H28" s="1">
        <v>429164</v>
      </c>
    </row>
    <row r="29" spans="1:8" ht="17.25" hidden="1" customHeight="1" x14ac:dyDescent="0.2">
      <c r="A29" s="3">
        <v>0.7</v>
      </c>
      <c r="B29" s="1">
        <v>590</v>
      </c>
      <c r="C29" s="1">
        <v>1</v>
      </c>
      <c r="D29" s="2" t="s">
        <v>8</v>
      </c>
      <c r="E29" s="1">
        <v>35801</v>
      </c>
      <c r="F29" s="2" t="s">
        <v>9</v>
      </c>
      <c r="G29" s="3">
        <v>282.49140460887497</v>
      </c>
      <c r="H29" s="1">
        <v>390148</v>
      </c>
    </row>
    <row r="30" spans="1:8" ht="17.25" hidden="1" customHeight="1" x14ac:dyDescent="0.2">
      <c r="A30" s="3">
        <v>0.65</v>
      </c>
      <c r="B30" s="1">
        <v>531</v>
      </c>
      <c r="C30" s="1">
        <v>1</v>
      </c>
      <c r="D30" s="2" t="s">
        <v>8</v>
      </c>
      <c r="E30" s="1">
        <v>35801</v>
      </c>
      <c r="F30" s="2" t="s">
        <v>9</v>
      </c>
      <c r="G30" s="3">
        <v>254.2422641479875</v>
      </c>
      <c r="H30" s="1">
        <v>351133</v>
      </c>
    </row>
    <row r="31" spans="1:8" ht="17.25" hidden="1" customHeight="1" x14ac:dyDescent="0.2">
      <c r="A31" s="3">
        <v>0.6</v>
      </c>
      <c r="B31" s="1">
        <v>531</v>
      </c>
      <c r="C31" s="1">
        <v>1</v>
      </c>
      <c r="D31" s="2" t="s">
        <v>8</v>
      </c>
      <c r="E31" s="1">
        <v>35801</v>
      </c>
      <c r="F31" s="2" t="s">
        <v>9</v>
      </c>
      <c r="G31" s="3">
        <v>254.2422641479875</v>
      </c>
      <c r="H31" s="1">
        <v>351133</v>
      </c>
    </row>
    <row r="32" spans="1:8" ht="17.25" hidden="1" customHeight="1" x14ac:dyDescent="0.2">
      <c r="A32" s="3">
        <v>0.55000000000000004</v>
      </c>
      <c r="B32" s="1">
        <v>472</v>
      </c>
      <c r="C32" s="1">
        <v>1</v>
      </c>
      <c r="D32" s="2" t="s">
        <v>8</v>
      </c>
      <c r="E32" s="1">
        <v>35801</v>
      </c>
      <c r="F32" s="2" t="s">
        <v>9</v>
      </c>
      <c r="G32" s="3">
        <v>225.99312368709997</v>
      </c>
      <c r="H32" s="1">
        <v>312117</v>
      </c>
    </row>
    <row r="33" spans="1:8" ht="17.25" hidden="1" customHeight="1" x14ac:dyDescent="0.2">
      <c r="A33" s="3">
        <v>0.5</v>
      </c>
      <c r="B33" s="1">
        <v>413</v>
      </c>
      <c r="C33" s="1">
        <v>1</v>
      </c>
      <c r="D33" s="2" t="s">
        <v>8</v>
      </c>
      <c r="E33" s="1">
        <v>35801</v>
      </c>
      <c r="F33" s="2" t="s">
        <v>9</v>
      </c>
      <c r="G33" s="3">
        <v>197.74398322621249</v>
      </c>
      <c r="H33" s="1">
        <v>273102</v>
      </c>
    </row>
    <row r="34" spans="1:8" ht="17.25" hidden="1" customHeight="1" x14ac:dyDescent="0.2">
      <c r="A34" s="3">
        <v>0.45</v>
      </c>
      <c r="B34" s="1">
        <v>354</v>
      </c>
      <c r="C34" s="1">
        <v>1</v>
      </c>
      <c r="D34" s="2" t="s">
        <v>8</v>
      </c>
      <c r="E34" s="1">
        <v>35801</v>
      </c>
      <c r="F34" s="2" t="s">
        <v>9</v>
      </c>
      <c r="G34" s="3">
        <v>169.49484276532502</v>
      </c>
      <c r="H34" s="1">
        <v>234087</v>
      </c>
    </row>
    <row r="35" spans="1:8" ht="17.25" hidden="1" customHeight="1" x14ac:dyDescent="0.2">
      <c r="A35" s="3">
        <v>0.4</v>
      </c>
      <c r="B35" s="1">
        <v>354</v>
      </c>
      <c r="C35" s="1">
        <v>1</v>
      </c>
      <c r="D35" s="2" t="s">
        <v>8</v>
      </c>
      <c r="E35" s="1">
        <v>35801</v>
      </c>
      <c r="F35" s="2" t="s">
        <v>9</v>
      </c>
      <c r="G35" s="3">
        <v>169.49484276532502</v>
      </c>
      <c r="H35" s="1">
        <v>234087</v>
      </c>
    </row>
    <row r="36" spans="1:8" ht="17.25" hidden="1" customHeight="1" x14ac:dyDescent="0.2">
      <c r="A36" s="3">
        <v>0.35</v>
      </c>
      <c r="B36" s="1">
        <v>295</v>
      </c>
      <c r="C36" s="1">
        <v>1</v>
      </c>
      <c r="D36" s="2" t="s">
        <v>8</v>
      </c>
      <c r="E36" s="1">
        <v>35801</v>
      </c>
      <c r="F36" s="2" t="s">
        <v>9</v>
      </c>
      <c r="G36" s="3">
        <v>141.24570230443749</v>
      </c>
      <c r="H36" s="1">
        <v>195084</v>
      </c>
    </row>
    <row r="37" spans="1:8" ht="17.25" hidden="1" customHeight="1" x14ac:dyDescent="0.2">
      <c r="A37" s="3">
        <v>0.3</v>
      </c>
      <c r="B37" s="1">
        <v>236</v>
      </c>
      <c r="C37" s="1">
        <v>1</v>
      </c>
      <c r="D37" s="2" t="s">
        <v>8</v>
      </c>
      <c r="E37" s="1">
        <v>35801</v>
      </c>
      <c r="F37" s="2" t="s">
        <v>9</v>
      </c>
      <c r="G37" s="3">
        <v>112.99656184354998</v>
      </c>
      <c r="H37" s="1">
        <v>156069</v>
      </c>
    </row>
    <row r="38" spans="1:8" ht="17.25" hidden="1" customHeight="1" x14ac:dyDescent="0.2">
      <c r="A38" s="3">
        <v>0.25</v>
      </c>
      <c r="B38" s="1">
        <v>177</v>
      </c>
      <c r="C38" s="1">
        <v>1</v>
      </c>
      <c r="D38" s="2" t="s">
        <v>8</v>
      </c>
      <c r="E38" s="1">
        <v>35801</v>
      </c>
      <c r="F38" s="2" t="s">
        <v>9</v>
      </c>
      <c r="G38" s="3">
        <v>84.747421382662509</v>
      </c>
      <c r="H38" s="1">
        <v>117068</v>
      </c>
    </row>
    <row r="39" spans="1:8" ht="17.25" hidden="1" customHeight="1" x14ac:dyDescent="0.2">
      <c r="A39" s="3">
        <v>0.2</v>
      </c>
      <c r="B39" s="1">
        <v>177</v>
      </c>
      <c r="C39" s="1">
        <v>1</v>
      </c>
      <c r="D39" s="2" t="s">
        <v>8</v>
      </c>
      <c r="E39" s="1">
        <v>35801</v>
      </c>
      <c r="F39" s="2" t="s">
        <v>9</v>
      </c>
      <c r="G39" s="3">
        <v>84.747421382662509</v>
      </c>
      <c r="H39" s="1">
        <v>117068</v>
      </c>
    </row>
    <row r="40" spans="1:8" ht="17.25" hidden="1" customHeight="1" x14ac:dyDescent="0.2">
      <c r="A40" s="3">
        <v>0.15</v>
      </c>
      <c r="B40" s="1">
        <v>118</v>
      </c>
      <c r="C40" s="1">
        <v>1</v>
      </c>
      <c r="D40" s="2" t="s">
        <v>8</v>
      </c>
      <c r="E40" s="1">
        <v>35801</v>
      </c>
      <c r="F40" s="2" t="s">
        <v>9</v>
      </c>
      <c r="G40" s="3">
        <v>56.498280921774992</v>
      </c>
      <c r="H40" s="1">
        <v>78047</v>
      </c>
    </row>
    <row r="41" spans="1:8" ht="17.25" hidden="1" customHeight="1" x14ac:dyDescent="0.2">
      <c r="A41" s="3">
        <v>0.1</v>
      </c>
      <c r="B41" s="1">
        <v>59</v>
      </c>
      <c r="C41" s="1">
        <v>1</v>
      </c>
      <c r="D41" s="2" t="s">
        <v>8</v>
      </c>
      <c r="E41" s="1">
        <v>35801</v>
      </c>
      <c r="F41" s="2" t="s">
        <v>9</v>
      </c>
      <c r="G41" s="3">
        <v>28.249140460887496</v>
      </c>
      <c r="H41" s="1">
        <v>39025</v>
      </c>
    </row>
    <row r="42" spans="1:8" ht="17.25" hidden="1" customHeight="1" x14ac:dyDescent="0.2">
      <c r="A42" s="3">
        <v>0.05</v>
      </c>
      <c r="B42" s="1">
        <v>0</v>
      </c>
      <c r="C42" s="1">
        <v>1</v>
      </c>
      <c r="D42" s="2" t="s">
        <v>8</v>
      </c>
      <c r="E42" s="1">
        <v>35801</v>
      </c>
      <c r="F42" s="2" t="s">
        <v>9</v>
      </c>
      <c r="G42" s="3">
        <v>0</v>
      </c>
      <c r="H42" s="1">
        <v>0</v>
      </c>
    </row>
    <row r="43" spans="1:8" ht="17.25" hidden="1" customHeight="1" x14ac:dyDescent="0.2">
      <c r="A43" s="1">
        <v>0</v>
      </c>
      <c r="B43" s="1">
        <v>0</v>
      </c>
      <c r="C43" s="1">
        <v>1</v>
      </c>
      <c r="D43" s="2" t="s">
        <v>8</v>
      </c>
      <c r="E43" s="1">
        <v>35801</v>
      </c>
      <c r="F43" s="2" t="s">
        <v>9</v>
      </c>
      <c r="G43" s="3">
        <v>0</v>
      </c>
      <c r="H43" s="1">
        <v>0</v>
      </c>
    </row>
    <row r="44" spans="1:8" ht="17.25" hidden="1" customHeight="1" x14ac:dyDescent="0.2">
      <c r="A44" s="1">
        <v>1</v>
      </c>
      <c r="B44" s="1">
        <v>885</v>
      </c>
      <c r="C44" s="1">
        <v>2</v>
      </c>
      <c r="D44" s="2" t="s">
        <v>8</v>
      </c>
      <c r="E44" s="1">
        <v>35769</v>
      </c>
      <c r="F44" s="2" t="s">
        <v>11</v>
      </c>
      <c r="G44" s="3">
        <v>423.73710691331252</v>
      </c>
      <c r="H44" s="1">
        <v>656889</v>
      </c>
    </row>
    <row r="45" spans="1:8" ht="17.25" hidden="1" customHeight="1" x14ac:dyDescent="0.2">
      <c r="A45" s="3">
        <v>0.95</v>
      </c>
      <c r="B45" s="1">
        <v>826</v>
      </c>
      <c r="C45" s="1">
        <v>2</v>
      </c>
      <c r="D45" s="2" t="s">
        <v>8</v>
      </c>
      <c r="E45" s="1">
        <v>35769</v>
      </c>
      <c r="F45" s="2" t="s">
        <v>11</v>
      </c>
      <c r="G45" s="3">
        <v>395.48796645242498</v>
      </c>
      <c r="H45" s="1">
        <v>613097</v>
      </c>
    </row>
    <row r="46" spans="1:8" ht="17.25" hidden="1" customHeight="1" x14ac:dyDescent="0.2">
      <c r="A46" s="3">
        <v>0.9</v>
      </c>
      <c r="B46" s="1">
        <v>767</v>
      </c>
      <c r="C46" s="1">
        <v>2</v>
      </c>
      <c r="D46" s="2" t="s">
        <v>8</v>
      </c>
      <c r="E46" s="1">
        <v>35769</v>
      </c>
      <c r="F46" s="2" t="s">
        <v>11</v>
      </c>
      <c r="G46" s="3">
        <v>367.23882599153751</v>
      </c>
      <c r="H46" s="1">
        <v>569305</v>
      </c>
    </row>
    <row r="47" spans="1:8" ht="17.25" hidden="1" customHeight="1" x14ac:dyDescent="0.2">
      <c r="A47" s="3">
        <v>0.8</v>
      </c>
      <c r="B47" s="1">
        <v>708</v>
      </c>
      <c r="C47" s="1">
        <v>2</v>
      </c>
      <c r="D47" s="2" t="s">
        <v>10</v>
      </c>
      <c r="E47" s="1">
        <v>36040</v>
      </c>
      <c r="F47" s="2" t="s">
        <v>11</v>
      </c>
      <c r="G47" s="3">
        <v>338.98968553065004</v>
      </c>
      <c r="H47" s="1">
        <v>562717</v>
      </c>
    </row>
    <row r="48" spans="1:8" ht="17.25" hidden="1" customHeight="1" x14ac:dyDescent="0.2">
      <c r="A48" s="3">
        <v>0.85</v>
      </c>
      <c r="B48" s="1">
        <v>708</v>
      </c>
      <c r="C48" s="1">
        <v>1</v>
      </c>
      <c r="D48" s="2" t="s">
        <v>10</v>
      </c>
      <c r="E48" s="1">
        <v>36117</v>
      </c>
      <c r="F48" s="2" t="s">
        <v>11</v>
      </c>
      <c r="G48" s="3">
        <v>338.98968553065004</v>
      </c>
      <c r="H48" s="1">
        <v>582547</v>
      </c>
    </row>
    <row r="49" spans="1:8" ht="17.25" hidden="1" customHeight="1" x14ac:dyDescent="0.2">
      <c r="A49" s="3">
        <v>0.85</v>
      </c>
      <c r="B49" s="1">
        <v>708</v>
      </c>
      <c r="C49" s="1">
        <v>2</v>
      </c>
      <c r="D49" s="2" t="s">
        <v>10</v>
      </c>
      <c r="E49" s="1">
        <v>36040</v>
      </c>
      <c r="F49" s="2" t="s">
        <v>11</v>
      </c>
      <c r="G49" s="3">
        <v>338.98968553065004</v>
      </c>
      <c r="H49" s="1">
        <v>562717</v>
      </c>
    </row>
    <row r="50" spans="1:8" ht="17.25" hidden="1" customHeight="1" x14ac:dyDescent="0.2">
      <c r="A50" s="3">
        <v>0.7</v>
      </c>
      <c r="B50" s="1">
        <v>590</v>
      </c>
      <c r="C50" s="1">
        <v>2</v>
      </c>
      <c r="D50" s="2" t="s">
        <v>8</v>
      </c>
      <c r="E50" s="1">
        <v>35769</v>
      </c>
      <c r="F50" s="2" t="s">
        <v>11</v>
      </c>
      <c r="G50" s="3">
        <v>282.49140460887497</v>
      </c>
      <c r="H50" s="1">
        <v>437928</v>
      </c>
    </row>
    <row r="51" spans="1:8" ht="17.25" hidden="1" customHeight="1" x14ac:dyDescent="0.2">
      <c r="A51" s="3">
        <v>0.65</v>
      </c>
      <c r="B51" s="1">
        <v>531</v>
      </c>
      <c r="C51" s="1">
        <v>2</v>
      </c>
      <c r="D51" s="2" t="s">
        <v>8</v>
      </c>
      <c r="E51" s="1">
        <v>35769</v>
      </c>
      <c r="F51" s="2" t="s">
        <v>11</v>
      </c>
      <c r="G51" s="3">
        <v>254.2422641479875</v>
      </c>
      <c r="H51" s="1">
        <v>394135</v>
      </c>
    </row>
    <row r="52" spans="1:8" ht="17.25" hidden="1" customHeight="1" x14ac:dyDescent="0.2">
      <c r="A52" s="3">
        <v>0.6</v>
      </c>
      <c r="B52" s="1">
        <v>531</v>
      </c>
      <c r="C52" s="1">
        <v>2</v>
      </c>
      <c r="D52" s="2" t="s">
        <v>8</v>
      </c>
      <c r="E52" s="1">
        <v>35769</v>
      </c>
      <c r="F52" s="2" t="s">
        <v>11</v>
      </c>
      <c r="G52" s="3">
        <v>254.2422641479875</v>
      </c>
      <c r="H52" s="1">
        <v>394135</v>
      </c>
    </row>
    <row r="53" spans="1:8" ht="17.25" hidden="1" customHeight="1" x14ac:dyDescent="0.2">
      <c r="A53" s="3">
        <v>0.55000000000000004</v>
      </c>
      <c r="B53" s="1">
        <v>472</v>
      </c>
      <c r="C53" s="1">
        <v>2</v>
      </c>
      <c r="D53" s="2" t="s">
        <v>8</v>
      </c>
      <c r="E53" s="1">
        <v>35769</v>
      </c>
      <c r="F53" s="2" t="s">
        <v>11</v>
      </c>
      <c r="G53" s="3">
        <v>225.99312368709997</v>
      </c>
      <c r="H53" s="1">
        <v>350343</v>
      </c>
    </row>
    <row r="54" spans="1:8" ht="17.25" hidden="1" customHeight="1" x14ac:dyDescent="0.2">
      <c r="A54" s="3">
        <v>0.5</v>
      </c>
      <c r="B54" s="1">
        <v>413</v>
      </c>
      <c r="C54" s="1">
        <v>2</v>
      </c>
      <c r="D54" s="2" t="s">
        <v>8</v>
      </c>
      <c r="E54" s="1">
        <v>35769</v>
      </c>
      <c r="F54" s="2" t="s">
        <v>11</v>
      </c>
      <c r="G54" s="3">
        <v>197.74398322621249</v>
      </c>
      <c r="H54" s="1">
        <v>306551</v>
      </c>
    </row>
    <row r="55" spans="1:8" ht="17.25" hidden="1" customHeight="1" x14ac:dyDescent="0.2">
      <c r="A55" s="3">
        <v>0.45</v>
      </c>
      <c r="B55" s="1">
        <v>354</v>
      </c>
      <c r="C55" s="1">
        <v>2</v>
      </c>
      <c r="D55" s="2" t="s">
        <v>8</v>
      </c>
      <c r="E55" s="1">
        <v>35769</v>
      </c>
      <c r="F55" s="2" t="s">
        <v>11</v>
      </c>
      <c r="G55" s="3">
        <v>169.49484276532502</v>
      </c>
      <c r="H55" s="1">
        <v>262758</v>
      </c>
    </row>
    <row r="56" spans="1:8" ht="17.25" hidden="1" customHeight="1" x14ac:dyDescent="0.2">
      <c r="A56" s="3">
        <v>0.4</v>
      </c>
      <c r="B56" s="1">
        <v>354</v>
      </c>
      <c r="C56" s="1">
        <v>2</v>
      </c>
      <c r="D56" s="2" t="s">
        <v>8</v>
      </c>
      <c r="E56" s="1">
        <v>35769</v>
      </c>
      <c r="F56" s="2" t="s">
        <v>11</v>
      </c>
      <c r="G56" s="3">
        <v>169.49484276532502</v>
      </c>
      <c r="H56" s="1">
        <v>262758</v>
      </c>
    </row>
    <row r="57" spans="1:8" ht="17.25" hidden="1" customHeight="1" x14ac:dyDescent="0.2">
      <c r="A57" s="3">
        <v>0.35</v>
      </c>
      <c r="B57" s="1">
        <v>295</v>
      </c>
      <c r="C57" s="1">
        <v>2</v>
      </c>
      <c r="D57" s="2" t="s">
        <v>8</v>
      </c>
      <c r="E57" s="1">
        <v>35769</v>
      </c>
      <c r="F57" s="2" t="s">
        <v>11</v>
      </c>
      <c r="G57" s="3">
        <v>141.24570230443749</v>
      </c>
      <c r="H57" s="1">
        <v>218980</v>
      </c>
    </row>
    <row r="58" spans="1:8" ht="17.25" hidden="1" customHeight="1" x14ac:dyDescent="0.2">
      <c r="A58" s="3">
        <v>0.3</v>
      </c>
      <c r="B58" s="1">
        <v>236</v>
      </c>
      <c r="C58" s="1">
        <v>2</v>
      </c>
      <c r="D58" s="2" t="s">
        <v>8</v>
      </c>
      <c r="E58" s="1">
        <v>35769</v>
      </c>
      <c r="F58" s="2" t="s">
        <v>11</v>
      </c>
      <c r="G58" s="3">
        <v>112.99656184354998</v>
      </c>
      <c r="H58" s="1">
        <v>175187</v>
      </c>
    </row>
    <row r="59" spans="1:8" ht="17.25" hidden="1" customHeight="1" x14ac:dyDescent="0.2">
      <c r="A59" s="3">
        <v>0.25</v>
      </c>
      <c r="B59" s="1">
        <v>177</v>
      </c>
      <c r="C59" s="1">
        <v>2</v>
      </c>
      <c r="D59" s="2" t="s">
        <v>8</v>
      </c>
      <c r="E59" s="1">
        <v>35769</v>
      </c>
      <c r="F59" s="2" t="s">
        <v>11</v>
      </c>
      <c r="G59" s="3">
        <v>84.747421382662509</v>
      </c>
      <c r="H59" s="1">
        <v>131393</v>
      </c>
    </row>
    <row r="60" spans="1:8" ht="17.25" hidden="1" customHeight="1" x14ac:dyDescent="0.2">
      <c r="A60" s="3">
        <v>0.2</v>
      </c>
      <c r="B60" s="1">
        <v>177</v>
      </c>
      <c r="C60" s="1">
        <v>2</v>
      </c>
      <c r="D60" s="2" t="s">
        <v>8</v>
      </c>
      <c r="E60" s="1">
        <v>35769</v>
      </c>
      <c r="F60" s="2" t="s">
        <v>11</v>
      </c>
      <c r="G60" s="3">
        <v>84.747421382662509</v>
      </c>
      <c r="H60" s="1">
        <v>131393</v>
      </c>
    </row>
    <row r="61" spans="1:8" ht="17.25" hidden="1" customHeight="1" x14ac:dyDescent="0.2">
      <c r="A61" s="3">
        <v>0.15</v>
      </c>
      <c r="B61" s="1">
        <v>118</v>
      </c>
      <c r="C61" s="1">
        <v>2</v>
      </c>
      <c r="D61" s="2" t="s">
        <v>8</v>
      </c>
      <c r="E61" s="1">
        <v>35769</v>
      </c>
      <c r="F61" s="2" t="s">
        <v>11</v>
      </c>
      <c r="G61" s="3">
        <v>56.498280921774992</v>
      </c>
      <c r="H61" s="1">
        <v>87559</v>
      </c>
    </row>
    <row r="62" spans="1:8" ht="17.25" hidden="1" customHeight="1" x14ac:dyDescent="0.2">
      <c r="A62" s="3">
        <v>0.1</v>
      </c>
      <c r="B62" s="1">
        <v>59</v>
      </c>
      <c r="C62" s="1">
        <v>2</v>
      </c>
      <c r="D62" s="2" t="s">
        <v>8</v>
      </c>
      <c r="E62" s="1">
        <v>35769</v>
      </c>
      <c r="F62" s="2" t="s">
        <v>11</v>
      </c>
      <c r="G62" s="3">
        <v>28.249140460887496</v>
      </c>
      <c r="H62" s="1">
        <v>43803</v>
      </c>
    </row>
    <row r="63" spans="1:8" ht="17.25" hidden="1" customHeight="1" x14ac:dyDescent="0.2">
      <c r="A63" s="3">
        <v>0.05</v>
      </c>
      <c r="B63" s="1">
        <v>0</v>
      </c>
      <c r="C63" s="1">
        <v>2</v>
      </c>
      <c r="D63" s="2" t="s">
        <v>8</v>
      </c>
      <c r="E63" s="1">
        <v>35769</v>
      </c>
      <c r="F63" s="2" t="s">
        <v>11</v>
      </c>
      <c r="G63" s="3">
        <v>0</v>
      </c>
      <c r="H63" s="1">
        <v>0</v>
      </c>
    </row>
    <row r="64" spans="1:8" ht="17.25" hidden="1" customHeight="1" x14ac:dyDescent="0.2">
      <c r="A64" s="1">
        <v>0</v>
      </c>
      <c r="B64" s="1">
        <v>0</v>
      </c>
      <c r="C64" s="1">
        <v>2</v>
      </c>
      <c r="D64" s="2" t="s">
        <v>8</v>
      </c>
      <c r="E64" s="1">
        <v>35769</v>
      </c>
      <c r="F64" s="2" t="s">
        <v>11</v>
      </c>
      <c r="G64" s="3">
        <v>0</v>
      </c>
      <c r="H64" s="1">
        <v>0</v>
      </c>
    </row>
    <row r="65" spans="1:8" ht="17.25" hidden="1" customHeight="1" x14ac:dyDescent="0.2">
      <c r="A65" s="1">
        <v>1</v>
      </c>
      <c r="B65" s="1">
        <v>885</v>
      </c>
      <c r="C65" s="1">
        <v>2</v>
      </c>
      <c r="D65" s="2" t="s">
        <v>8</v>
      </c>
      <c r="E65" s="1">
        <v>35769</v>
      </c>
      <c r="F65" s="2" t="s">
        <v>9</v>
      </c>
      <c r="G65" s="3">
        <v>423.73710691331252</v>
      </c>
      <c r="H65" s="1">
        <v>574020</v>
      </c>
    </row>
    <row r="66" spans="1:8" ht="17.25" hidden="1" customHeight="1" x14ac:dyDescent="0.2">
      <c r="A66" s="3">
        <v>0.95</v>
      </c>
      <c r="B66" s="1">
        <v>826</v>
      </c>
      <c r="C66" s="1">
        <v>2</v>
      </c>
      <c r="D66" s="2" t="s">
        <v>8</v>
      </c>
      <c r="E66" s="1">
        <v>35769</v>
      </c>
      <c r="F66" s="2" t="s">
        <v>9</v>
      </c>
      <c r="G66" s="3">
        <v>395.48796645242498</v>
      </c>
      <c r="H66" s="1">
        <v>535752</v>
      </c>
    </row>
    <row r="67" spans="1:8" ht="17.25" hidden="1" customHeight="1" x14ac:dyDescent="0.2">
      <c r="A67" s="3">
        <v>0.9</v>
      </c>
      <c r="B67" s="1">
        <v>767</v>
      </c>
      <c r="C67" s="1">
        <v>2</v>
      </c>
      <c r="D67" s="2" t="s">
        <v>8</v>
      </c>
      <c r="E67" s="1">
        <v>35769</v>
      </c>
      <c r="F67" s="2" t="s">
        <v>9</v>
      </c>
      <c r="G67" s="3">
        <v>367.23882599153751</v>
      </c>
      <c r="H67" s="1">
        <v>497484</v>
      </c>
    </row>
    <row r="68" spans="1:8" ht="17.25" hidden="1" customHeight="1" x14ac:dyDescent="0.2">
      <c r="A68" s="3">
        <v>0.85</v>
      </c>
      <c r="B68" s="1">
        <v>708</v>
      </c>
      <c r="C68" s="1">
        <v>2</v>
      </c>
      <c r="D68" s="2" t="s">
        <v>8</v>
      </c>
      <c r="E68" s="1">
        <v>35769</v>
      </c>
      <c r="F68" s="2" t="s">
        <v>9</v>
      </c>
      <c r="G68" s="3">
        <v>338.98968553065004</v>
      </c>
      <c r="H68" s="1">
        <v>459215</v>
      </c>
    </row>
    <row r="69" spans="1:8" ht="17.25" hidden="1" customHeight="1" x14ac:dyDescent="0.2">
      <c r="A69" s="3">
        <v>0.8</v>
      </c>
      <c r="B69" s="1">
        <v>708</v>
      </c>
      <c r="C69" s="1">
        <v>2</v>
      </c>
      <c r="D69" s="2" t="s">
        <v>8</v>
      </c>
      <c r="E69" s="1">
        <v>35769</v>
      </c>
      <c r="F69" s="2" t="s">
        <v>9</v>
      </c>
      <c r="G69" s="3">
        <v>338.98968553065004</v>
      </c>
      <c r="H69" s="1">
        <v>459215</v>
      </c>
    </row>
    <row r="70" spans="1:8" ht="17.25" hidden="1" customHeight="1" x14ac:dyDescent="0.2">
      <c r="A70" s="3">
        <v>0.75</v>
      </c>
      <c r="B70" s="1">
        <v>649</v>
      </c>
      <c r="C70" s="1">
        <v>2</v>
      </c>
      <c r="D70" s="2" t="s">
        <v>8</v>
      </c>
      <c r="E70" s="1">
        <v>35769</v>
      </c>
      <c r="F70" s="2" t="s">
        <v>9</v>
      </c>
      <c r="G70" s="3">
        <v>310.7405450697625</v>
      </c>
      <c r="H70" s="1">
        <v>420947</v>
      </c>
    </row>
    <row r="71" spans="1:8" ht="17.25" hidden="1" customHeight="1" x14ac:dyDescent="0.2">
      <c r="A71" s="3">
        <v>0.7</v>
      </c>
      <c r="B71" s="1">
        <v>590</v>
      </c>
      <c r="C71" s="1">
        <v>2</v>
      </c>
      <c r="D71" s="2" t="s">
        <v>8</v>
      </c>
      <c r="E71" s="1">
        <v>35769</v>
      </c>
      <c r="F71" s="2" t="s">
        <v>9</v>
      </c>
      <c r="G71" s="3">
        <v>282.49140460887497</v>
      </c>
      <c r="H71" s="1">
        <v>382678</v>
      </c>
    </row>
    <row r="72" spans="1:8" ht="21" customHeight="1" x14ac:dyDescent="0.2">
      <c r="A72" s="3">
        <v>0.65</v>
      </c>
      <c r="B72" s="1">
        <v>531</v>
      </c>
      <c r="C72" s="1">
        <v>2</v>
      </c>
      <c r="D72" s="2" t="s">
        <v>8</v>
      </c>
      <c r="E72" s="1">
        <v>35769</v>
      </c>
      <c r="F72" s="2" t="s">
        <v>9</v>
      </c>
      <c r="G72" s="3">
        <v>254.2422641479875</v>
      </c>
      <c r="H72" s="1">
        <v>344410</v>
      </c>
    </row>
    <row r="73" spans="1:8" ht="21" customHeight="1" x14ac:dyDescent="0.2">
      <c r="A73" s="3">
        <v>0.6</v>
      </c>
      <c r="B73" s="1">
        <v>531</v>
      </c>
      <c r="C73" s="1">
        <v>2</v>
      </c>
      <c r="D73" s="2" t="s">
        <v>8</v>
      </c>
      <c r="E73" s="1">
        <v>35769</v>
      </c>
      <c r="F73" s="2" t="s">
        <v>9</v>
      </c>
      <c r="G73" s="3">
        <v>254.2422641479875</v>
      </c>
      <c r="H73" s="1">
        <v>344410</v>
      </c>
    </row>
    <row r="74" spans="1:8" ht="17.25" customHeight="1" x14ac:dyDescent="0.2">
      <c r="A74" s="3">
        <v>0.55000000000000004</v>
      </c>
      <c r="B74" s="1">
        <v>472</v>
      </c>
      <c r="C74" s="1">
        <v>2</v>
      </c>
      <c r="D74" s="2" t="s">
        <v>8</v>
      </c>
      <c r="E74" s="1">
        <v>35769</v>
      </c>
      <c r="F74" s="2" t="s">
        <v>9</v>
      </c>
      <c r="G74" s="3">
        <v>225.99312368709997</v>
      </c>
      <c r="H74" s="1">
        <v>306141</v>
      </c>
    </row>
    <row r="75" spans="1:8" ht="17.25" customHeight="1" x14ac:dyDescent="0.2">
      <c r="A75" s="3">
        <v>0.5</v>
      </c>
      <c r="B75" s="1">
        <v>413</v>
      </c>
      <c r="C75" s="1">
        <v>2</v>
      </c>
      <c r="D75" s="2" t="s">
        <v>8</v>
      </c>
      <c r="E75" s="1">
        <v>35769</v>
      </c>
      <c r="F75" s="2" t="s">
        <v>9</v>
      </c>
      <c r="G75" s="3">
        <v>197.74398322621249</v>
      </c>
      <c r="H75" s="1">
        <v>267872</v>
      </c>
    </row>
    <row r="76" spans="1:8" ht="17.25" customHeight="1" x14ac:dyDescent="0.2">
      <c r="A76" s="3">
        <v>0.45</v>
      </c>
      <c r="B76" s="1">
        <v>354</v>
      </c>
      <c r="C76" s="1">
        <v>2</v>
      </c>
      <c r="D76" s="2" t="s">
        <v>8</v>
      </c>
      <c r="E76" s="1">
        <v>35769</v>
      </c>
      <c r="F76" s="2" t="s">
        <v>9</v>
      </c>
      <c r="G76" s="3">
        <v>169.49484276532502</v>
      </c>
      <c r="H76" s="1">
        <v>229604</v>
      </c>
    </row>
    <row r="77" spans="1:8" ht="17.25" customHeight="1" x14ac:dyDescent="0.2">
      <c r="A77" s="3">
        <v>0.4</v>
      </c>
      <c r="B77" s="1">
        <v>354</v>
      </c>
      <c r="C77" s="1">
        <v>2</v>
      </c>
      <c r="D77" s="2" t="s">
        <v>8</v>
      </c>
      <c r="E77" s="1">
        <v>35769</v>
      </c>
      <c r="F77" s="2" t="s">
        <v>9</v>
      </c>
      <c r="G77" s="3">
        <v>169.49484276532502</v>
      </c>
      <c r="H77" s="1">
        <v>229604</v>
      </c>
    </row>
    <row r="78" spans="1:8" ht="17.25" customHeight="1" x14ac:dyDescent="0.2">
      <c r="A78" s="3">
        <v>0.35</v>
      </c>
      <c r="B78" s="1">
        <v>295</v>
      </c>
      <c r="C78" s="1">
        <v>2</v>
      </c>
      <c r="D78" s="2" t="s">
        <v>8</v>
      </c>
      <c r="E78" s="1">
        <v>35769</v>
      </c>
      <c r="F78" s="2" t="s">
        <v>9</v>
      </c>
      <c r="G78" s="3">
        <v>141.24570230443749</v>
      </c>
      <c r="H78" s="1">
        <v>191349</v>
      </c>
    </row>
    <row r="79" spans="1:8" ht="17.25" customHeight="1" x14ac:dyDescent="0.2">
      <c r="A79" s="3">
        <v>0.3</v>
      </c>
      <c r="B79" s="1">
        <v>236</v>
      </c>
      <c r="C79" s="1">
        <v>2</v>
      </c>
      <c r="D79" s="2" t="s">
        <v>8</v>
      </c>
      <c r="E79" s="1">
        <v>35769</v>
      </c>
      <c r="F79" s="2" t="s">
        <v>9</v>
      </c>
      <c r="G79" s="3">
        <v>112.99656184354998</v>
      </c>
      <c r="H79" s="1">
        <v>153080</v>
      </c>
    </row>
    <row r="80" spans="1:8" ht="17.25" customHeight="1" x14ac:dyDescent="0.2">
      <c r="A80" s="3">
        <v>0.25</v>
      </c>
      <c r="B80" s="1">
        <v>177</v>
      </c>
      <c r="C80" s="1">
        <v>2</v>
      </c>
      <c r="D80" s="2" t="s">
        <v>8</v>
      </c>
      <c r="E80" s="1">
        <v>35769</v>
      </c>
      <c r="F80" s="2" t="s">
        <v>9</v>
      </c>
      <c r="G80" s="3">
        <v>84.747421382662509</v>
      </c>
      <c r="H80" s="1">
        <v>114827</v>
      </c>
    </row>
    <row r="81" spans="1:8" ht="17.25" customHeight="1" x14ac:dyDescent="0.2">
      <c r="A81" s="3">
        <v>0.2</v>
      </c>
      <c r="B81" s="1">
        <v>177</v>
      </c>
      <c r="C81" s="1">
        <v>2</v>
      </c>
      <c r="D81" s="2" t="s">
        <v>8</v>
      </c>
      <c r="E81" s="1">
        <v>35769</v>
      </c>
      <c r="F81" s="2" t="s">
        <v>9</v>
      </c>
      <c r="G81" s="3">
        <v>84.747421382662509</v>
      </c>
      <c r="H81" s="1">
        <v>114827</v>
      </c>
    </row>
    <row r="82" spans="1:8" ht="17.25" customHeight="1" x14ac:dyDescent="0.2">
      <c r="A82" s="3">
        <v>0.15</v>
      </c>
      <c r="B82" s="1">
        <v>118</v>
      </c>
      <c r="C82" s="1">
        <v>2</v>
      </c>
      <c r="D82" s="2" t="s">
        <v>8</v>
      </c>
      <c r="E82" s="1">
        <v>35769</v>
      </c>
      <c r="F82" s="2" t="s">
        <v>9</v>
      </c>
      <c r="G82" s="3">
        <v>56.498280921774992</v>
      </c>
      <c r="H82" s="1">
        <v>76553</v>
      </c>
    </row>
    <row r="83" spans="1:8" ht="17.25" customHeight="1" x14ac:dyDescent="0.2">
      <c r="A83" s="3">
        <v>0.1</v>
      </c>
      <c r="B83" s="1">
        <v>59</v>
      </c>
      <c r="C83" s="1">
        <v>2</v>
      </c>
      <c r="D83" s="2" t="s">
        <v>8</v>
      </c>
      <c r="E83" s="1">
        <v>35769</v>
      </c>
      <c r="F83" s="2" t="s">
        <v>9</v>
      </c>
      <c r="G83" s="3">
        <v>28.249140460887496</v>
      </c>
      <c r="H83" s="1">
        <v>38278</v>
      </c>
    </row>
    <row r="84" spans="1:8" ht="17.25" customHeight="1" x14ac:dyDescent="0.2">
      <c r="A84" s="3">
        <v>0.05</v>
      </c>
      <c r="B84" s="1">
        <v>0</v>
      </c>
      <c r="C84" s="1">
        <v>2</v>
      </c>
      <c r="D84" s="2" t="s">
        <v>8</v>
      </c>
      <c r="E84" s="1">
        <v>35769</v>
      </c>
      <c r="F84" s="2" t="s">
        <v>9</v>
      </c>
      <c r="G84" s="3">
        <v>0</v>
      </c>
      <c r="H84" s="1">
        <v>0</v>
      </c>
    </row>
    <row r="85" spans="1:8" ht="17.25" customHeight="1" x14ac:dyDescent="0.2">
      <c r="A85" s="1">
        <v>0</v>
      </c>
      <c r="B85" s="1">
        <v>0</v>
      </c>
      <c r="C85" s="1">
        <v>2</v>
      </c>
      <c r="D85" s="2" t="s">
        <v>8</v>
      </c>
      <c r="E85" s="1">
        <v>35769</v>
      </c>
      <c r="F85" s="2" t="s">
        <v>9</v>
      </c>
      <c r="G85" s="3">
        <v>0</v>
      </c>
      <c r="H85" s="1">
        <v>0</v>
      </c>
    </row>
    <row r="86" spans="1:8" ht="17.25" customHeight="1" x14ac:dyDescent="0.2">
      <c r="A86" s="1">
        <v>1</v>
      </c>
      <c r="B86" s="1">
        <v>885</v>
      </c>
      <c r="C86" s="1">
        <v>1</v>
      </c>
      <c r="D86" s="2" t="s">
        <v>13</v>
      </c>
      <c r="E86" s="1">
        <v>35223</v>
      </c>
      <c r="F86" s="2" t="s">
        <v>11</v>
      </c>
      <c r="G86" s="3">
        <v>423.73710691331252</v>
      </c>
      <c r="H86" s="1">
        <v>668895</v>
      </c>
    </row>
    <row r="87" spans="1:8" ht="17.25" customHeight="1" x14ac:dyDescent="0.2">
      <c r="A87" s="3">
        <v>0.95</v>
      </c>
      <c r="B87" s="1">
        <v>826</v>
      </c>
      <c r="C87" s="1">
        <v>1</v>
      </c>
      <c r="D87" s="2" t="s">
        <v>13</v>
      </c>
      <c r="E87" s="1">
        <v>35223</v>
      </c>
      <c r="F87" s="2" t="s">
        <v>11</v>
      </c>
      <c r="G87" s="3">
        <v>395.48796645242498</v>
      </c>
      <c r="H87" s="1">
        <v>624302</v>
      </c>
    </row>
    <row r="88" spans="1:8" ht="17.25" customHeight="1" x14ac:dyDescent="0.2">
      <c r="A88" s="3">
        <v>0.9</v>
      </c>
      <c r="B88" s="1">
        <v>767</v>
      </c>
      <c r="C88" s="1">
        <v>1</v>
      </c>
      <c r="D88" s="2" t="s">
        <v>13</v>
      </c>
      <c r="E88" s="1">
        <v>35223</v>
      </c>
      <c r="F88" s="2" t="s">
        <v>11</v>
      </c>
      <c r="G88" s="3">
        <v>367.23882599153751</v>
      </c>
      <c r="H88" s="1">
        <v>579711</v>
      </c>
    </row>
    <row r="89" spans="1:8" ht="17.25" customHeight="1" x14ac:dyDescent="0.2">
      <c r="A89" s="3">
        <v>0.75</v>
      </c>
      <c r="B89" s="1">
        <v>649</v>
      </c>
      <c r="C89" s="1">
        <v>1</v>
      </c>
      <c r="D89" s="2" t="s">
        <v>13</v>
      </c>
      <c r="E89" s="1">
        <v>35223</v>
      </c>
      <c r="F89" s="2" t="s">
        <v>11</v>
      </c>
      <c r="G89" s="3">
        <v>310.7405450697625</v>
      </c>
      <c r="H89" s="1">
        <v>490525</v>
      </c>
    </row>
    <row r="90" spans="1:8" ht="17.25" customHeight="1" x14ac:dyDescent="0.2">
      <c r="A90" s="3">
        <v>0.75</v>
      </c>
      <c r="B90" s="1">
        <v>649</v>
      </c>
      <c r="C90" s="1">
        <v>2</v>
      </c>
      <c r="D90" s="2" t="s">
        <v>13</v>
      </c>
      <c r="E90" s="1">
        <v>35136</v>
      </c>
      <c r="F90" s="2" t="s">
        <v>11</v>
      </c>
      <c r="G90" s="3">
        <v>310.7405450697625</v>
      </c>
      <c r="H90" s="1">
        <v>504562</v>
      </c>
    </row>
    <row r="91" spans="1:8" ht="17.25" customHeight="1" x14ac:dyDescent="0.2">
      <c r="A91" s="3">
        <v>0.8</v>
      </c>
      <c r="B91" s="1">
        <v>708</v>
      </c>
      <c r="C91" s="1">
        <v>1</v>
      </c>
      <c r="D91" s="2" t="s">
        <v>13</v>
      </c>
      <c r="E91" s="1">
        <v>35223</v>
      </c>
      <c r="F91" s="2" t="s">
        <v>11</v>
      </c>
      <c r="G91" s="3">
        <v>338.98968553065004</v>
      </c>
      <c r="H91" s="1">
        <v>535118</v>
      </c>
    </row>
    <row r="92" spans="1:8" ht="17.25" customHeight="1" x14ac:dyDescent="0.2">
      <c r="A92" s="3">
        <v>0.7</v>
      </c>
      <c r="B92" s="1">
        <v>590</v>
      </c>
      <c r="C92" s="1">
        <v>1</v>
      </c>
      <c r="D92" s="2" t="s">
        <v>13</v>
      </c>
      <c r="E92" s="1">
        <v>35223</v>
      </c>
      <c r="F92" s="2" t="s">
        <v>11</v>
      </c>
      <c r="G92" s="3">
        <v>282.49140460887497</v>
      </c>
      <c r="H92" s="1">
        <v>445933</v>
      </c>
    </row>
    <row r="93" spans="1:8" ht="17.25" customHeight="1" x14ac:dyDescent="0.2">
      <c r="A93" s="3">
        <v>0.65</v>
      </c>
      <c r="B93" s="1">
        <v>531</v>
      </c>
      <c r="C93" s="1">
        <v>1</v>
      </c>
      <c r="D93" s="2" t="s">
        <v>13</v>
      </c>
      <c r="E93" s="1">
        <v>35223</v>
      </c>
      <c r="F93" s="2" t="s">
        <v>11</v>
      </c>
      <c r="G93" s="3">
        <v>254.2422641479875</v>
      </c>
      <c r="H93" s="1">
        <v>401339</v>
      </c>
    </row>
    <row r="94" spans="1:8" ht="17.25" customHeight="1" x14ac:dyDescent="0.2">
      <c r="A94" s="3">
        <v>0.6</v>
      </c>
      <c r="B94" s="1">
        <v>531</v>
      </c>
      <c r="C94" s="1">
        <v>1</v>
      </c>
      <c r="D94" s="2" t="s">
        <v>13</v>
      </c>
      <c r="E94" s="1">
        <v>35223</v>
      </c>
      <c r="F94" s="2" t="s">
        <v>11</v>
      </c>
      <c r="G94" s="3">
        <v>254.2422641479875</v>
      </c>
      <c r="H94" s="1">
        <v>401339</v>
      </c>
    </row>
    <row r="95" spans="1:8" ht="17.25" customHeight="1" x14ac:dyDescent="0.2">
      <c r="A95" s="3">
        <v>0.55000000000000004</v>
      </c>
      <c r="B95" s="1">
        <v>472</v>
      </c>
      <c r="C95" s="1">
        <v>1</v>
      </c>
      <c r="D95" s="2" t="s">
        <v>13</v>
      </c>
      <c r="E95" s="1">
        <v>35223</v>
      </c>
      <c r="F95" s="2" t="s">
        <v>11</v>
      </c>
      <c r="G95" s="3">
        <v>225.99312368709997</v>
      </c>
      <c r="H95" s="1">
        <v>356747</v>
      </c>
    </row>
    <row r="96" spans="1:8" ht="17.25" customHeight="1" x14ac:dyDescent="0.2">
      <c r="A96" s="3">
        <v>0.5</v>
      </c>
      <c r="B96" s="1">
        <v>413</v>
      </c>
      <c r="C96" s="1">
        <v>1</v>
      </c>
      <c r="D96" s="2" t="s">
        <v>13</v>
      </c>
      <c r="E96" s="1">
        <v>35223</v>
      </c>
      <c r="F96" s="2" t="s">
        <v>11</v>
      </c>
      <c r="G96" s="3">
        <v>197.74398322621249</v>
      </c>
      <c r="H96" s="1">
        <v>312154</v>
      </c>
    </row>
    <row r="97" spans="1:8" ht="17.25" customHeight="1" x14ac:dyDescent="0.2">
      <c r="A97" s="3">
        <v>0.45</v>
      </c>
      <c r="B97" s="1">
        <v>354</v>
      </c>
      <c r="C97" s="1">
        <v>1</v>
      </c>
      <c r="D97" s="2" t="s">
        <v>13</v>
      </c>
      <c r="E97" s="1">
        <v>35223</v>
      </c>
      <c r="F97" s="2" t="s">
        <v>11</v>
      </c>
      <c r="G97" s="3">
        <v>169.49484276532502</v>
      </c>
      <c r="H97" s="1">
        <v>267561</v>
      </c>
    </row>
    <row r="98" spans="1:8" ht="17.25" customHeight="1" x14ac:dyDescent="0.2">
      <c r="A98" s="3">
        <v>0.4</v>
      </c>
      <c r="B98" s="1">
        <v>354</v>
      </c>
      <c r="C98" s="1">
        <v>1</v>
      </c>
      <c r="D98" s="2" t="s">
        <v>13</v>
      </c>
      <c r="E98" s="1">
        <v>35223</v>
      </c>
      <c r="F98" s="2" t="s">
        <v>11</v>
      </c>
      <c r="G98" s="3">
        <v>169.49484276532502</v>
      </c>
      <c r="H98" s="1">
        <v>267561</v>
      </c>
    </row>
    <row r="99" spans="1:8" ht="17.25" customHeight="1" x14ac:dyDescent="0.2">
      <c r="A99" s="3">
        <v>0.35</v>
      </c>
      <c r="B99" s="1">
        <v>295</v>
      </c>
      <c r="C99" s="1">
        <v>1</v>
      </c>
      <c r="D99" s="2" t="s">
        <v>13</v>
      </c>
      <c r="E99" s="1">
        <v>35223</v>
      </c>
      <c r="F99" s="2" t="s">
        <v>11</v>
      </c>
      <c r="G99" s="3">
        <v>141.24570230443749</v>
      </c>
      <c r="H99" s="1">
        <v>222984</v>
      </c>
    </row>
    <row r="100" spans="1:8" ht="17.25" customHeight="1" x14ac:dyDescent="0.2">
      <c r="A100" s="3">
        <v>0.3</v>
      </c>
      <c r="B100" s="1">
        <v>236</v>
      </c>
      <c r="C100" s="1">
        <v>1</v>
      </c>
      <c r="D100" s="2" t="s">
        <v>13</v>
      </c>
      <c r="E100" s="1">
        <v>35223</v>
      </c>
      <c r="F100" s="2" t="s">
        <v>11</v>
      </c>
      <c r="G100" s="3">
        <v>112.99656184354998</v>
      </c>
      <c r="H100" s="1">
        <v>178389</v>
      </c>
    </row>
    <row r="101" spans="1:8" ht="17.25" customHeight="1" x14ac:dyDescent="0.2">
      <c r="A101" s="3">
        <v>0.25</v>
      </c>
      <c r="B101" s="1">
        <v>177</v>
      </c>
      <c r="C101" s="1">
        <v>1</v>
      </c>
      <c r="D101" s="2" t="s">
        <v>13</v>
      </c>
      <c r="E101" s="1">
        <v>35223</v>
      </c>
      <c r="F101" s="2" t="s">
        <v>11</v>
      </c>
      <c r="G101" s="3">
        <v>84.747421382662509</v>
      </c>
      <c r="H101" s="1">
        <v>133796</v>
      </c>
    </row>
    <row r="102" spans="1:8" ht="17.25" customHeight="1" x14ac:dyDescent="0.2">
      <c r="A102" s="3">
        <v>0.2</v>
      </c>
      <c r="B102" s="1">
        <v>177</v>
      </c>
      <c r="C102" s="1">
        <v>1</v>
      </c>
      <c r="D102" s="2" t="s">
        <v>13</v>
      </c>
      <c r="E102" s="1">
        <v>35223</v>
      </c>
      <c r="F102" s="2" t="s">
        <v>11</v>
      </c>
      <c r="G102" s="3">
        <v>84.747421382662509</v>
      </c>
      <c r="H102" s="1">
        <v>133796</v>
      </c>
    </row>
    <row r="103" spans="1:8" ht="17.25" customHeight="1" x14ac:dyDescent="0.2">
      <c r="A103" s="3">
        <v>0.15</v>
      </c>
      <c r="B103" s="1">
        <v>118</v>
      </c>
      <c r="C103" s="1">
        <v>1</v>
      </c>
      <c r="D103" s="2" t="s">
        <v>13</v>
      </c>
      <c r="E103" s="1">
        <v>35223</v>
      </c>
      <c r="F103" s="2" t="s">
        <v>11</v>
      </c>
      <c r="G103" s="3">
        <v>56.498280921774992</v>
      </c>
      <c r="H103" s="1">
        <v>89201</v>
      </c>
    </row>
    <row r="104" spans="1:8" ht="17.25" customHeight="1" x14ac:dyDescent="0.2">
      <c r="A104" s="3">
        <v>0.1</v>
      </c>
      <c r="B104" s="1">
        <v>59</v>
      </c>
      <c r="C104" s="1">
        <v>1</v>
      </c>
      <c r="D104" s="2" t="s">
        <v>13</v>
      </c>
      <c r="E104" s="1">
        <v>35223</v>
      </c>
      <c r="F104" s="2" t="s">
        <v>11</v>
      </c>
      <c r="G104" s="3">
        <v>28.249140460887496</v>
      </c>
      <c r="H104" s="1">
        <v>44604</v>
      </c>
    </row>
    <row r="105" spans="1:8" ht="17.25" customHeight="1" x14ac:dyDescent="0.2">
      <c r="A105" s="3">
        <v>0.05</v>
      </c>
      <c r="B105" s="1">
        <v>0</v>
      </c>
      <c r="C105" s="1">
        <v>1</v>
      </c>
      <c r="D105" s="2" t="s">
        <v>13</v>
      </c>
      <c r="E105" s="1">
        <v>35223</v>
      </c>
      <c r="F105" s="2" t="s">
        <v>11</v>
      </c>
      <c r="G105" s="3">
        <v>0</v>
      </c>
      <c r="H105" s="1">
        <v>0</v>
      </c>
    </row>
    <row r="106" spans="1:8" ht="17.25" customHeight="1" x14ac:dyDescent="0.2">
      <c r="A106" s="1">
        <v>0</v>
      </c>
      <c r="B106" s="1">
        <v>0</v>
      </c>
      <c r="C106" s="1">
        <v>1</v>
      </c>
      <c r="D106" s="2" t="s">
        <v>13</v>
      </c>
      <c r="E106" s="1">
        <v>35223</v>
      </c>
      <c r="F106" s="2" t="s">
        <v>11</v>
      </c>
      <c r="G106" s="3">
        <v>0</v>
      </c>
      <c r="H106" s="1">
        <v>0</v>
      </c>
    </row>
    <row r="107" spans="1:8" ht="17.25" customHeight="1" x14ac:dyDescent="0.2">
      <c r="A107" s="1">
        <v>1</v>
      </c>
      <c r="B107" s="1">
        <v>885</v>
      </c>
      <c r="C107" s="1">
        <v>1</v>
      </c>
      <c r="D107" s="2" t="s">
        <v>13</v>
      </c>
      <c r="E107" s="1">
        <v>35223</v>
      </c>
      <c r="F107" s="2" t="s">
        <v>9</v>
      </c>
      <c r="G107" s="3">
        <v>423.73710691331252</v>
      </c>
      <c r="H107" s="1">
        <v>579758</v>
      </c>
    </row>
    <row r="108" spans="1:8" ht="17.25" customHeight="1" x14ac:dyDescent="0.2">
      <c r="A108" s="3">
        <v>0.95</v>
      </c>
      <c r="B108" s="1">
        <v>826</v>
      </c>
      <c r="C108" s="1">
        <v>1</v>
      </c>
      <c r="D108" s="2" t="s">
        <v>13</v>
      </c>
      <c r="E108" s="1">
        <v>35223</v>
      </c>
      <c r="F108" s="2" t="s">
        <v>9</v>
      </c>
      <c r="G108" s="3">
        <v>395.48796645242498</v>
      </c>
      <c r="H108" s="1">
        <v>541107</v>
      </c>
    </row>
    <row r="109" spans="1:8" ht="17.25" customHeight="1" x14ac:dyDescent="0.2">
      <c r="A109" s="3">
        <v>0.9</v>
      </c>
      <c r="B109" s="1">
        <v>767</v>
      </c>
      <c r="C109" s="1">
        <v>1</v>
      </c>
      <c r="D109" s="2" t="s">
        <v>13</v>
      </c>
      <c r="E109" s="1">
        <v>35223</v>
      </c>
      <c r="F109" s="2" t="s">
        <v>9</v>
      </c>
      <c r="G109" s="3">
        <v>367.23882599153751</v>
      </c>
      <c r="H109" s="1">
        <v>502456</v>
      </c>
    </row>
    <row r="110" spans="1:8" ht="17.25" customHeight="1" x14ac:dyDescent="0.2">
      <c r="A110" s="3">
        <v>0.85</v>
      </c>
      <c r="B110" s="1">
        <v>708</v>
      </c>
      <c r="C110" s="1">
        <v>1</v>
      </c>
      <c r="D110" s="2" t="s">
        <v>13</v>
      </c>
      <c r="E110" s="1">
        <v>35223</v>
      </c>
      <c r="F110" s="2" t="s">
        <v>9</v>
      </c>
      <c r="G110" s="3">
        <v>338.98968553065004</v>
      </c>
      <c r="H110" s="1">
        <v>463806</v>
      </c>
    </row>
    <row r="111" spans="1:8" ht="17.25" customHeight="1" x14ac:dyDescent="0.2">
      <c r="A111" s="3">
        <v>0.8</v>
      </c>
      <c r="B111" s="1">
        <v>708</v>
      </c>
      <c r="C111" s="1">
        <v>1</v>
      </c>
      <c r="D111" s="2" t="s">
        <v>13</v>
      </c>
      <c r="E111" s="1">
        <v>35223</v>
      </c>
      <c r="F111" s="2" t="s">
        <v>9</v>
      </c>
      <c r="G111" s="3">
        <v>338.98968553065004</v>
      </c>
      <c r="H111" s="1">
        <v>463806</v>
      </c>
    </row>
    <row r="112" spans="1:8" ht="17.25" customHeight="1" x14ac:dyDescent="0.2">
      <c r="A112" s="3">
        <v>0.75</v>
      </c>
      <c r="B112" s="1">
        <v>649</v>
      </c>
      <c r="C112" s="1">
        <v>1</v>
      </c>
      <c r="D112" s="2" t="s">
        <v>13</v>
      </c>
      <c r="E112" s="1">
        <v>35223</v>
      </c>
      <c r="F112" s="2" t="s">
        <v>9</v>
      </c>
      <c r="G112" s="3">
        <v>310.7405450697625</v>
      </c>
      <c r="H112" s="1">
        <v>425155</v>
      </c>
    </row>
    <row r="113" spans="1:8" ht="17.25" customHeight="1" x14ac:dyDescent="0.2">
      <c r="A113" s="3">
        <v>0.7</v>
      </c>
      <c r="B113" s="1">
        <v>590</v>
      </c>
      <c r="C113" s="1">
        <v>1</v>
      </c>
      <c r="D113" s="2" t="s">
        <v>13</v>
      </c>
      <c r="E113" s="1">
        <v>35223</v>
      </c>
      <c r="F113" s="2" t="s">
        <v>9</v>
      </c>
      <c r="G113" s="3">
        <v>282.49140460887497</v>
      </c>
      <c r="H113" s="1">
        <v>386504</v>
      </c>
    </row>
    <row r="114" spans="1:8" ht="17.25" customHeight="1" x14ac:dyDescent="0.2">
      <c r="A114" s="3">
        <v>0.65</v>
      </c>
      <c r="B114" s="1">
        <v>531</v>
      </c>
      <c r="C114" s="1">
        <v>1</v>
      </c>
      <c r="D114" s="2" t="s">
        <v>13</v>
      </c>
      <c r="E114" s="1">
        <v>35223</v>
      </c>
      <c r="F114" s="2" t="s">
        <v>9</v>
      </c>
      <c r="G114" s="3">
        <v>254.2422641479875</v>
      </c>
      <c r="H114" s="1">
        <v>347853</v>
      </c>
    </row>
    <row r="115" spans="1:8" ht="17.25" customHeight="1" x14ac:dyDescent="0.2">
      <c r="A115" s="3">
        <v>0.6</v>
      </c>
      <c r="B115" s="1">
        <v>531</v>
      </c>
      <c r="C115" s="1">
        <v>1</v>
      </c>
      <c r="D115" s="2" t="s">
        <v>13</v>
      </c>
      <c r="E115" s="1">
        <v>35223</v>
      </c>
      <c r="F115" s="2" t="s">
        <v>9</v>
      </c>
      <c r="G115" s="3">
        <v>254.2422641479875</v>
      </c>
      <c r="H115" s="1">
        <v>347853</v>
      </c>
    </row>
    <row r="116" spans="1:8" ht="17.25" customHeight="1" x14ac:dyDescent="0.2">
      <c r="A116" s="3">
        <v>0.55000000000000004</v>
      </c>
      <c r="B116" s="1">
        <v>472</v>
      </c>
      <c r="C116" s="1">
        <v>1</v>
      </c>
      <c r="D116" s="2" t="s">
        <v>13</v>
      </c>
      <c r="E116" s="1">
        <v>35223</v>
      </c>
      <c r="F116" s="2" t="s">
        <v>9</v>
      </c>
      <c r="G116" s="3">
        <v>225.99312368709997</v>
      </c>
      <c r="H116" s="1">
        <v>309201</v>
      </c>
    </row>
    <row r="117" spans="1:8" ht="17.25" customHeight="1" x14ac:dyDescent="0.2">
      <c r="A117" s="3">
        <v>0.5</v>
      </c>
      <c r="B117" s="1">
        <v>413</v>
      </c>
      <c r="C117" s="1">
        <v>1</v>
      </c>
      <c r="D117" s="2" t="s">
        <v>13</v>
      </c>
      <c r="E117" s="1">
        <v>35223</v>
      </c>
      <c r="F117" s="2" t="s">
        <v>9</v>
      </c>
      <c r="G117" s="3">
        <v>197.74398322621249</v>
      </c>
      <c r="H117" s="1">
        <v>270550</v>
      </c>
    </row>
    <row r="118" spans="1:8" ht="17.25" customHeight="1" x14ac:dyDescent="0.2">
      <c r="A118" s="3">
        <v>0.45</v>
      </c>
      <c r="B118" s="1">
        <v>354</v>
      </c>
      <c r="C118" s="1">
        <v>1</v>
      </c>
      <c r="D118" s="2" t="s">
        <v>13</v>
      </c>
      <c r="E118" s="1">
        <v>35223</v>
      </c>
      <c r="F118" s="2" t="s">
        <v>9</v>
      </c>
      <c r="G118" s="3">
        <v>169.49484276532502</v>
      </c>
      <c r="H118" s="1">
        <v>231899</v>
      </c>
    </row>
    <row r="119" spans="1:8" ht="17.25" customHeight="1" x14ac:dyDescent="0.2">
      <c r="A119" s="3">
        <v>0.4</v>
      </c>
      <c r="B119" s="1">
        <v>354</v>
      </c>
      <c r="C119" s="1">
        <v>1</v>
      </c>
      <c r="D119" s="2" t="s">
        <v>13</v>
      </c>
      <c r="E119" s="1">
        <v>35223</v>
      </c>
      <c r="F119" s="2" t="s">
        <v>9</v>
      </c>
      <c r="G119" s="3">
        <v>169.49484276532502</v>
      </c>
      <c r="H119" s="1">
        <v>231899</v>
      </c>
    </row>
    <row r="120" spans="1:8" ht="17.25" customHeight="1" x14ac:dyDescent="0.2">
      <c r="A120" s="3">
        <v>0.35</v>
      </c>
      <c r="B120" s="1">
        <v>295</v>
      </c>
      <c r="C120" s="1">
        <v>1</v>
      </c>
      <c r="D120" s="2" t="s">
        <v>13</v>
      </c>
      <c r="E120" s="1">
        <v>35223</v>
      </c>
      <c r="F120" s="2" t="s">
        <v>9</v>
      </c>
      <c r="G120" s="3">
        <v>141.24570230443749</v>
      </c>
      <c r="H120" s="1">
        <v>193262</v>
      </c>
    </row>
    <row r="121" spans="1:8" ht="17.25" customHeight="1" x14ac:dyDescent="0.2">
      <c r="A121" s="3">
        <v>0.3</v>
      </c>
      <c r="B121" s="1">
        <v>236</v>
      </c>
      <c r="C121" s="1">
        <v>1</v>
      </c>
      <c r="D121" s="2" t="s">
        <v>13</v>
      </c>
      <c r="E121" s="1">
        <v>35223</v>
      </c>
      <c r="F121" s="2" t="s">
        <v>9</v>
      </c>
      <c r="G121" s="3">
        <v>112.99656184354998</v>
      </c>
      <c r="H121" s="1">
        <v>154610</v>
      </c>
    </row>
    <row r="122" spans="1:8" ht="17.25" customHeight="1" x14ac:dyDescent="0.2">
      <c r="A122" s="3">
        <v>0.25</v>
      </c>
      <c r="B122" s="1">
        <v>177</v>
      </c>
      <c r="C122" s="1">
        <v>1</v>
      </c>
      <c r="D122" s="2" t="s">
        <v>13</v>
      </c>
      <c r="E122" s="1">
        <v>35223</v>
      </c>
      <c r="F122" s="2" t="s">
        <v>9</v>
      </c>
      <c r="G122" s="3">
        <v>84.747421382662509</v>
      </c>
      <c r="H122" s="1">
        <v>115977</v>
      </c>
    </row>
    <row r="123" spans="1:8" ht="17.25" customHeight="1" x14ac:dyDescent="0.2">
      <c r="A123" s="3">
        <v>0.2</v>
      </c>
      <c r="B123" s="1">
        <v>177</v>
      </c>
      <c r="C123" s="1">
        <v>1</v>
      </c>
      <c r="D123" s="2" t="s">
        <v>13</v>
      </c>
      <c r="E123" s="1">
        <v>35223</v>
      </c>
      <c r="F123" s="2" t="s">
        <v>9</v>
      </c>
      <c r="G123" s="3">
        <v>84.747421382662509</v>
      </c>
      <c r="H123" s="1">
        <v>115977</v>
      </c>
    </row>
    <row r="124" spans="1:8" ht="17.25" customHeight="1" x14ac:dyDescent="0.2">
      <c r="A124" s="3">
        <v>0.15</v>
      </c>
      <c r="B124" s="1">
        <v>118</v>
      </c>
      <c r="C124" s="1">
        <v>1</v>
      </c>
      <c r="D124" s="2" t="s">
        <v>13</v>
      </c>
      <c r="E124" s="1">
        <v>35223</v>
      </c>
      <c r="F124" s="2" t="s">
        <v>9</v>
      </c>
      <c r="G124" s="3">
        <v>56.498280921774992</v>
      </c>
      <c r="H124" s="1">
        <v>77320</v>
      </c>
    </row>
    <row r="125" spans="1:8" ht="17.25" customHeight="1" x14ac:dyDescent="0.2">
      <c r="A125" s="3">
        <v>0.1</v>
      </c>
      <c r="B125" s="1">
        <v>59</v>
      </c>
      <c r="C125" s="1">
        <v>1</v>
      </c>
      <c r="D125" s="2" t="s">
        <v>13</v>
      </c>
      <c r="E125" s="1">
        <v>35223</v>
      </c>
      <c r="F125" s="2" t="s">
        <v>9</v>
      </c>
      <c r="G125" s="3">
        <v>28.249140460887496</v>
      </c>
      <c r="H125" s="1">
        <v>38661</v>
      </c>
    </row>
    <row r="126" spans="1:8" ht="17.25" customHeight="1" x14ac:dyDescent="0.2">
      <c r="A126" s="3">
        <v>0.05</v>
      </c>
      <c r="B126" s="1">
        <v>0</v>
      </c>
      <c r="C126" s="1">
        <v>1</v>
      </c>
      <c r="D126" s="2" t="s">
        <v>13</v>
      </c>
      <c r="E126" s="1">
        <v>35223</v>
      </c>
      <c r="F126" s="2" t="s">
        <v>9</v>
      </c>
      <c r="G126" s="3">
        <v>0</v>
      </c>
      <c r="H126" s="1">
        <v>0</v>
      </c>
    </row>
    <row r="127" spans="1:8" ht="17.25" customHeight="1" x14ac:dyDescent="0.2">
      <c r="A127" s="1">
        <v>0</v>
      </c>
      <c r="B127" s="1">
        <v>0</v>
      </c>
      <c r="C127" s="1">
        <v>1</v>
      </c>
      <c r="D127" s="2" t="s">
        <v>13</v>
      </c>
      <c r="E127" s="1">
        <v>35223</v>
      </c>
      <c r="F127" s="2" t="s">
        <v>9</v>
      </c>
      <c r="G127" s="3">
        <v>0</v>
      </c>
      <c r="H127" s="1">
        <v>0</v>
      </c>
    </row>
    <row r="128" spans="1:8" ht="17.25" customHeight="1" x14ac:dyDescent="0.2">
      <c r="A128" s="1">
        <v>1</v>
      </c>
      <c r="B128" s="1">
        <v>885</v>
      </c>
      <c r="C128" s="1">
        <v>2</v>
      </c>
      <c r="D128" s="2" t="s">
        <v>13</v>
      </c>
      <c r="E128" s="1">
        <v>35136</v>
      </c>
      <c r="F128" s="2" t="s">
        <v>11</v>
      </c>
      <c r="G128" s="3">
        <v>423.73710691331252</v>
      </c>
      <c r="H128" s="1">
        <v>688037</v>
      </c>
    </row>
    <row r="129" spans="1:8" ht="17.25" customHeight="1" x14ac:dyDescent="0.2">
      <c r="A129" s="3">
        <v>0.95</v>
      </c>
      <c r="B129" s="1">
        <v>826</v>
      </c>
      <c r="C129" s="1">
        <v>2</v>
      </c>
      <c r="D129" s="2" t="s">
        <v>13</v>
      </c>
      <c r="E129" s="1">
        <v>35136</v>
      </c>
      <c r="F129" s="2" t="s">
        <v>11</v>
      </c>
      <c r="G129" s="3">
        <v>395.48796645242498</v>
      </c>
      <c r="H129" s="1">
        <v>642168</v>
      </c>
    </row>
    <row r="130" spans="1:8" ht="17.25" customHeight="1" x14ac:dyDescent="0.2">
      <c r="A130" s="3">
        <v>0.9</v>
      </c>
      <c r="B130" s="1">
        <v>767</v>
      </c>
      <c r="C130" s="1">
        <v>2</v>
      </c>
      <c r="D130" s="2" t="s">
        <v>13</v>
      </c>
      <c r="E130" s="1">
        <v>35136</v>
      </c>
      <c r="F130" s="2" t="s">
        <v>11</v>
      </c>
      <c r="G130" s="3">
        <v>367.23882599153751</v>
      </c>
      <c r="H130" s="1">
        <v>596301</v>
      </c>
    </row>
    <row r="131" spans="1:8" ht="17.25" customHeight="1" x14ac:dyDescent="0.2">
      <c r="A131" s="3">
        <v>0.8</v>
      </c>
      <c r="B131" s="1">
        <v>708</v>
      </c>
      <c r="C131" s="1">
        <v>2</v>
      </c>
      <c r="D131" s="2" t="s">
        <v>13</v>
      </c>
      <c r="E131" s="1">
        <v>35136</v>
      </c>
      <c r="F131" s="2" t="s">
        <v>11</v>
      </c>
      <c r="G131" s="3">
        <v>338.98968553065004</v>
      </c>
      <c r="H131" s="1">
        <v>550432</v>
      </c>
    </row>
    <row r="132" spans="1:8" ht="17.25" customHeight="1" x14ac:dyDescent="0.2">
      <c r="A132" s="3">
        <v>0.85</v>
      </c>
      <c r="B132" s="1">
        <v>708</v>
      </c>
      <c r="C132" s="1">
        <v>1</v>
      </c>
      <c r="D132" s="2" t="s">
        <v>13</v>
      </c>
      <c r="E132" s="1">
        <v>35223</v>
      </c>
      <c r="F132" s="2" t="s">
        <v>11</v>
      </c>
      <c r="G132" s="3">
        <v>338.98968553065004</v>
      </c>
      <c r="H132" s="1">
        <v>535118</v>
      </c>
    </row>
    <row r="133" spans="1:8" ht="17.25" customHeight="1" x14ac:dyDescent="0.2">
      <c r="A133" s="3">
        <v>0.85</v>
      </c>
      <c r="B133" s="1">
        <v>708</v>
      </c>
      <c r="C133" s="1">
        <v>2</v>
      </c>
      <c r="D133" s="2" t="s">
        <v>13</v>
      </c>
      <c r="E133" s="1">
        <v>35136</v>
      </c>
      <c r="F133" s="2" t="s">
        <v>11</v>
      </c>
      <c r="G133" s="3">
        <v>338.98968553065004</v>
      </c>
      <c r="H133" s="1">
        <v>550432</v>
      </c>
    </row>
    <row r="134" spans="1:8" ht="17.25" customHeight="1" x14ac:dyDescent="0.2">
      <c r="A134" s="3">
        <v>0.7</v>
      </c>
      <c r="B134" s="1">
        <v>590</v>
      </c>
      <c r="C134" s="1">
        <v>2</v>
      </c>
      <c r="D134" s="2" t="s">
        <v>13</v>
      </c>
      <c r="E134" s="1">
        <v>35136</v>
      </c>
      <c r="F134" s="2" t="s">
        <v>11</v>
      </c>
      <c r="G134" s="3">
        <v>282.49140460887497</v>
      </c>
      <c r="H134" s="1">
        <v>458694</v>
      </c>
    </row>
    <row r="135" spans="1:8" ht="17.25" customHeight="1" x14ac:dyDescent="0.2">
      <c r="A135" s="3">
        <v>0.65</v>
      </c>
      <c r="B135" s="1">
        <v>531</v>
      </c>
      <c r="C135" s="1">
        <v>2</v>
      </c>
      <c r="D135" s="2" t="s">
        <v>13</v>
      </c>
      <c r="E135" s="1">
        <v>35136</v>
      </c>
      <c r="F135" s="2" t="s">
        <v>11</v>
      </c>
      <c r="G135" s="3">
        <v>254.2422641479875</v>
      </c>
      <c r="H135" s="1">
        <v>412825</v>
      </c>
    </row>
    <row r="136" spans="1:8" ht="17.25" customHeight="1" x14ac:dyDescent="0.2">
      <c r="A136" s="3">
        <v>0.6</v>
      </c>
      <c r="B136" s="1">
        <v>531</v>
      </c>
      <c r="C136" s="1">
        <v>2</v>
      </c>
      <c r="D136" s="2" t="s">
        <v>13</v>
      </c>
      <c r="E136" s="1">
        <v>35136</v>
      </c>
      <c r="F136" s="2" t="s">
        <v>11</v>
      </c>
      <c r="G136" s="3">
        <v>254.2422641479875</v>
      </c>
      <c r="H136" s="1">
        <v>412825</v>
      </c>
    </row>
    <row r="137" spans="1:8" ht="17.25" customHeight="1" x14ac:dyDescent="0.2">
      <c r="A137" s="3">
        <v>0.55000000000000004</v>
      </c>
      <c r="B137" s="1">
        <v>472</v>
      </c>
      <c r="C137" s="1">
        <v>2</v>
      </c>
      <c r="D137" s="2" t="s">
        <v>13</v>
      </c>
      <c r="E137" s="1">
        <v>35136</v>
      </c>
      <c r="F137" s="2" t="s">
        <v>11</v>
      </c>
      <c r="G137" s="3">
        <v>225.99312368709997</v>
      </c>
      <c r="H137" s="1">
        <v>366956</v>
      </c>
    </row>
    <row r="138" spans="1:8" ht="17.25" customHeight="1" x14ac:dyDescent="0.2">
      <c r="A138" s="3">
        <v>0.5</v>
      </c>
      <c r="B138" s="1">
        <v>413</v>
      </c>
      <c r="C138" s="1">
        <v>2</v>
      </c>
      <c r="D138" s="2" t="s">
        <v>13</v>
      </c>
      <c r="E138" s="1">
        <v>35136</v>
      </c>
      <c r="F138" s="2" t="s">
        <v>11</v>
      </c>
      <c r="G138" s="3">
        <v>197.74398322621249</v>
      </c>
      <c r="H138" s="1">
        <v>321088</v>
      </c>
    </row>
    <row r="139" spans="1:8" ht="17.25" customHeight="1" x14ac:dyDescent="0.2">
      <c r="A139" s="3">
        <v>0.45</v>
      </c>
      <c r="B139" s="1">
        <v>354</v>
      </c>
      <c r="C139" s="1">
        <v>2</v>
      </c>
      <c r="D139" s="2" t="s">
        <v>13</v>
      </c>
      <c r="E139" s="1">
        <v>35136</v>
      </c>
      <c r="F139" s="2" t="s">
        <v>11</v>
      </c>
      <c r="G139" s="3">
        <v>169.49484276532502</v>
      </c>
      <c r="H139" s="1">
        <v>275218</v>
      </c>
    </row>
    <row r="140" spans="1:8" ht="17.25" customHeight="1" x14ac:dyDescent="0.2">
      <c r="A140" s="3">
        <v>0.4</v>
      </c>
      <c r="B140" s="1">
        <v>354</v>
      </c>
      <c r="C140" s="1">
        <v>2</v>
      </c>
      <c r="D140" s="2" t="s">
        <v>13</v>
      </c>
      <c r="E140" s="1">
        <v>35136</v>
      </c>
      <c r="F140" s="2" t="s">
        <v>11</v>
      </c>
      <c r="G140" s="3">
        <v>169.49484276532502</v>
      </c>
      <c r="H140" s="1">
        <v>275218</v>
      </c>
    </row>
    <row r="141" spans="1:8" ht="17.25" customHeight="1" x14ac:dyDescent="0.2">
      <c r="A141" s="3">
        <v>0.35</v>
      </c>
      <c r="B141" s="1">
        <v>295</v>
      </c>
      <c r="C141" s="1">
        <v>2</v>
      </c>
      <c r="D141" s="2" t="s">
        <v>13</v>
      </c>
      <c r="E141" s="1">
        <v>35136</v>
      </c>
      <c r="F141" s="2" t="s">
        <v>11</v>
      </c>
      <c r="G141" s="3">
        <v>141.24570230443749</v>
      </c>
      <c r="H141" s="1">
        <v>229365</v>
      </c>
    </row>
    <row r="142" spans="1:8" ht="17.25" customHeight="1" x14ac:dyDescent="0.2">
      <c r="A142" s="3">
        <v>0.3</v>
      </c>
      <c r="B142" s="1">
        <v>236</v>
      </c>
      <c r="C142" s="1">
        <v>2</v>
      </c>
      <c r="D142" s="2" t="s">
        <v>13</v>
      </c>
      <c r="E142" s="1">
        <v>35136</v>
      </c>
      <c r="F142" s="2" t="s">
        <v>11</v>
      </c>
      <c r="G142" s="3">
        <v>112.99656184354998</v>
      </c>
      <c r="H142" s="1">
        <v>183495</v>
      </c>
    </row>
    <row r="143" spans="1:8" ht="17.25" customHeight="1" x14ac:dyDescent="0.2">
      <c r="A143" s="3">
        <v>0.25</v>
      </c>
      <c r="B143" s="1">
        <v>177</v>
      </c>
      <c r="C143" s="1">
        <v>2</v>
      </c>
      <c r="D143" s="2" t="s">
        <v>13</v>
      </c>
      <c r="E143" s="1">
        <v>35136</v>
      </c>
      <c r="F143" s="2" t="s">
        <v>11</v>
      </c>
      <c r="G143" s="3">
        <v>84.747421382662509</v>
      </c>
      <c r="H143" s="1">
        <v>137625</v>
      </c>
    </row>
    <row r="144" spans="1:8" ht="17.25" customHeight="1" x14ac:dyDescent="0.2">
      <c r="A144" s="3">
        <v>0.2</v>
      </c>
      <c r="B144" s="1">
        <v>177</v>
      </c>
      <c r="C144" s="1">
        <v>2</v>
      </c>
      <c r="D144" s="2" t="s">
        <v>13</v>
      </c>
      <c r="E144" s="1">
        <v>35136</v>
      </c>
      <c r="F144" s="2" t="s">
        <v>11</v>
      </c>
      <c r="G144" s="3">
        <v>84.747421382662509</v>
      </c>
      <c r="H144" s="1">
        <v>137625</v>
      </c>
    </row>
    <row r="145" spans="1:8" ht="17.25" customHeight="1" x14ac:dyDescent="0.2">
      <c r="A145" s="3">
        <v>0.15</v>
      </c>
      <c r="B145" s="1">
        <v>118</v>
      </c>
      <c r="C145" s="1">
        <v>2</v>
      </c>
      <c r="D145" s="2" t="s">
        <v>13</v>
      </c>
      <c r="E145" s="1">
        <v>35136</v>
      </c>
      <c r="F145" s="2" t="s">
        <v>11</v>
      </c>
      <c r="G145" s="3">
        <v>56.498280921774992</v>
      </c>
      <c r="H145" s="1">
        <v>91753</v>
      </c>
    </row>
    <row r="146" spans="1:8" ht="17.25" customHeight="1" x14ac:dyDescent="0.2">
      <c r="A146" s="3">
        <v>0.1</v>
      </c>
      <c r="B146" s="1">
        <v>59</v>
      </c>
      <c r="C146" s="1">
        <v>2</v>
      </c>
      <c r="D146" s="2" t="s">
        <v>13</v>
      </c>
      <c r="E146" s="1">
        <v>35136</v>
      </c>
      <c r="F146" s="2" t="s">
        <v>11</v>
      </c>
      <c r="G146" s="3">
        <v>28.249140460887496</v>
      </c>
      <c r="H146" s="1">
        <v>45881</v>
      </c>
    </row>
    <row r="147" spans="1:8" ht="17.25" customHeight="1" x14ac:dyDescent="0.2">
      <c r="A147" s="3">
        <v>0.05</v>
      </c>
      <c r="B147" s="1">
        <v>0</v>
      </c>
      <c r="C147" s="1">
        <v>2</v>
      </c>
      <c r="D147" s="2" t="s">
        <v>13</v>
      </c>
      <c r="E147" s="1">
        <v>35136</v>
      </c>
      <c r="F147" s="2" t="s">
        <v>11</v>
      </c>
      <c r="G147" s="3">
        <v>0</v>
      </c>
      <c r="H147" s="1">
        <v>0</v>
      </c>
    </row>
    <row r="148" spans="1:8" ht="17.25" customHeight="1" x14ac:dyDescent="0.2">
      <c r="A148" s="1">
        <v>0</v>
      </c>
      <c r="B148" s="1">
        <v>0</v>
      </c>
      <c r="C148" s="1">
        <v>2</v>
      </c>
      <c r="D148" s="2" t="s">
        <v>13</v>
      </c>
      <c r="E148" s="1">
        <v>35136</v>
      </c>
      <c r="F148" s="2" t="s">
        <v>11</v>
      </c>
      <c r="G148" s="3">
        <v>0</v>
      </c>
      <c r="H148" s="1">
        <v>0</v>
      </c>
    </row>
    <row r="149" spans="1:8" ht="17.25" customHeight="1" x14ac:dyDescent="0.2">
      <c r="A149" s="1">
        <v>1</v>
      </c>
      <c r="B149" s="1">
        <v>885</v>
      </c>
      <c r="C149" s="1">
        <v>2</v>
      </c>
      <c r="D149" s="2" t="s">
        <v>13</v>
      </c>
      <c r="E149" s="1">
        <v>35136</v>
      </c>
      <c r="F149" s="2" t="s">
        <v>9</v>
      </c>
      <c r="G149" s="3">
        <v>423.73710691331252</v>
      </c>
      <c r="H149" s="1">
        <v>594824</v>
      </c>
    </row>
    <row r="150" spans="1:8" ht="17.25" customHeight="1" x14ac:dyDescent="0.2">
      <c r="A150" s="3">
        <v>0.95</v>
      </c>
      <c r="B150" s="1">
        <v>826</v>
      </c>
      <c r="C150" s="1">
        <v>2</v>
      </c>
      <c r="D150" s="2" t="s">
        <v>13</v>
      </c>
      <c r="E150" s="1">
        <v>35136</v>
      </c>
      <c r="F150" s="2" t="s">
        <v>9</v>
      </c>
      <c r="G150" s="3">
        <v>395.48796645242498</v>
      </c>
      <c r="H150" s="1">
        <v>555168</v>
      </c>
    </row>
    <row r="151" spans="1:8" ht="17.25" customHeight="1" x14ac:dyDescent="0.2">
      <c r="A151" s="3">
        <v>0.9</v>
      </c>
      <c r="B151" s="1">
        <v>767</v>
      </c>
      <c r="C151" s="1">
        <v>2</v>
      </c>
      <c r="D151" s="2" t="s">
        <v>13</v>
      </c>
      <c r="E151" s="1">
        <v>35136</v>
      </c>
      <c r="F151" s="2" t="s">
        <v>9</v>
      </c>
      <c r="G151" s="3">
        <v>367.23882599153751</v>
      </c>
      <c r="H151" s="1">
        <v>515513</v>
      </c>
    </row>
    <row r="152" spans="1:8" ht="17.25" customHeight="1" x14ac:dyDescent="0.2">
      <c r="A152" s="3">
        <v>0.85</v>
      </c>
      <c r="B152" s="1">
        <v>708</v>
      </c>
      <c r="C152" s="1">
        <v>2</v>
      </c>
      <c r="D152" s="2" t="s">
        <v>13</v>
      </c>
      <c r="E152" s="1">
        <v>35136</v>
      </c>
      <c r="F152" s="2" t="s">
        <v>9</v>
      </c>
      <c r="G152" s="3">
        <v>338.98968553065004</v>
      </c>
      <c r="H152" s="1">
        <v>475858</v>
      </c>
    </row>
    <row r="153" spans="1:8" ht="17.25" customHeight="1" x14ac:dyDescent="0.2">
      <c r="A153" s="3">
        <v>0.8</v>
      </c>
      <c r="B153" s="1">
        <v>708</v>
      </c>
      <c r="C153" s="1">
        <v>2</v>
      </c>
      <c r="D153" s="2" t="s">
        <v>13</v>
      </c>
      <c r="E153" s="1">
        <v>35136</v>
      </c>
      <c r="F153" s="2" t="s">
        <v>9</v>
      </c>
      <c r="G153" s="3">
        <v>338.98968553065004</v>
      </c>
      <c r="H153" s="1">
        <v>475858</v>
      </c>
    </row>
    <row r="154" spans="1:8" ht="17.25" customHeight="1" x14ac:dyDescent="0.2">
      <c r="A154" s="3">
        <v>0.75</v>
      </c>
      <c r="B154" s="1">
        <v>649</v>
      </c>
      <c r="C154" s="1">
        <v>2</v>
      </c>
      <c r="D154" s="2" t="s">
        <v>13</v>
      </c>
      <c r="E154" s="1">
        <v>35136</v>
      </c>
      <c r="F154" s="2" t="s">
        <v>9</v>
      </c>
      <c r="G154" s="3">
        <v>310.7405450697625</v>
      </c>
      <c r="H154" s="1">
        <v>436203</v>
      </c>
    </row>
    <row r="155" spans="1:8" ht="17.25" customHeight="1" x14ac:dyDescent="0.2">
      <c r="A155" s="3">
        <v>0.7</v>
      </c>
      <c r="B155" s="1">
        <v>590</v>
      </c>
      <c r="C155" s="1">
        <v>2</v>
      </c>
      <c r="D155" s="2" t="s">
        <v>13</v>
      </c>
      <c r="E155" s="1">
        <v>35136</v>
      </c>
      <c r="F155" s="2" t="s">
        <v>9</v>
      </c>
      <c r="G155" s="3">
        <v>282.49140460887497</v>
      </c>
      <c r="H155" s="1">
        <v>396547</v>
      </c>
    </row>
    <row r="156" spans="1:8" ht="17.25" customHeight="1" x14ac:dyDescent="0.2">
      <c r="A156" s="3">
        <v>0.65</v>
      </c>
      <c r="B156" s="1">
        <v>531</v>
      </c>
      <c r="C156" s="1">
        <v>2</v>
      </c>
      <c r="D156" s="2" t="s">
        <v>13</v>
      </c>
      <c r="E156" s="1">
        <v>35136</v>
      </c>
      <c r="F156" s="2" t="s">
        <v>9</v>
      </c>
      <c r="G156" s="3">
        <v>254.2422641479875</v>
      </c>
      <c r="H156" s="1">
        <v>356892</v>
      </c>
    </row>
    <row r="157" spans="1:8" ht="17.25" customHeight="1" x14ac:dyDescent="0.2">
      <c r="A157" s="3">
        <v>0.6</v>
      </c>
      <c r="B157" s="1">
        <v>531</v>
      </c>
      <c r="C157" s="1">
        <v>2</v>
      </c>
      <c r="D157" s="2" t="s">
        <v>13</v>
      </c>
      <c r="E157" s="1">
        <v>35136</v>
      </c>
      <c r="F157" s="2" t="s">
        <v>9</v>
      </c>
      <c r="G157" s="3">
        <v>254.2422641479875</v>
      </c>
      <c r="H157" s="1">
        <v>356892</v>
      </c>
    </row>
    <row r="158" spans="1:8" ht="17.25" customHeight="1" x14ac:dyDescent="0.2">
      <c r="A158" s="3">
        <v>0.55000000000000004</v>
      </c>
      <c r="B158" s="1">
        <v>472</v>
      </c>
      <c r="C158" s="1">
        <v>2</v>
      </c>
      <c r="D158" s="2" t="s">
        <v>13</v>
      </c>
      <c r="E158" s="1">
        <v>35136</v>
      </c>
      <c r="F158" s="2" t="s">
        <v>9</v>
      </c>
      <c r="G158" s="3">
        <v>225.99312368709997</v>
      </c>
      <c r="H158" s="1">
        <v>317236</v>
      </c>
    </row>
    <row r="159" spans="1:8" ht="17.25" customHeight="1" x14ac:dyDescent="0.2">
      <c r="A159" s="3">
        <v>0.5</v>
      </c>
      <c r="B159" s="1">
        <v>413</v>
      </c>
      <c r="C159" s="1">
        <v>2</v>
      </c>
      <c r="D159" s="2" t="s">
        <v>13</v>
      </c>
      <c r="E159" s="1">
        <v>35136</v>
      </c>
      <c r="F159" s="2" t="s">
        <v>9</v>
      </c>
      <c r="G159" s="3">
        <v>197.74398322621249</v>
      </c>
      <c r="H159" s="1">
        <v>277581</v>
      </c>
    </row>
    <row r="160" spans="1:8" ht="17.25" customHeight="1" x14ac:dyDescent="0.2">
      <c r="A160" s="3">
        <v>0.45</v>
      </c>
      <c r="B160" s="1">
        <v>354</v>
      </c>
      <c r="C160" s="1">
        <v>2</v>
      </c>
      <c r="D160" s="2" t="s">
        <v>13</v>
      </c>
      <c r="E160" s="1">
        <v>35136</v>
      </c>
      <c r="F160" s="2" t="s">
        <v>9</v>
      </c>
      <c r="G160" s="3">
        <v>169.49484276532502</v>
      </c>
      <c r="H160" s="1">
        <v>237926</v>
      </c>
    </row>
    <row r="161" spans="1:8" ht="17.25" customHeight="1" x14ac:dyDescent="0.2">
      <c r="A161" s="3">
        <v>0.4</v>
      </c>
      <c r="B161" s="1">
        <v>354</v>
      </c>
      <c r="C161" s="1">
        <v>2</v>
      </c>
      <c r="D161" s="2" t="s">
        <v>13</v>
      </c>
      <c r="E161" s="1">
        <v>35136</v>
      </c>
      <c r="F161" s="2" t="s">
        <v>9</v>
      </c>
      <c r="G161" s="3">
        <v>169.49484276532502</v>
      </c>
      <c r="H161" s="1">
        <v>237926</v>
      </c>
    </row>
    <row r="162" spans="1:8" ht="17.25" customHeight="1" x14ac:dyDescent="0.2">
      <c r="A162" s="3">
        <v>0.35</v>
      </c>
      <c r="B162" s="1">
        <v>295</v>
      </c>
      <c r="C162" s="1">
        <v>2</v>
      </c>
      <c r="D162" s="2" t="s">
        <v>13</v>
      </c>
      <c r="E162" s="1">
        <v>35136</v>
      </c>
      <c r="F162" s="2" t="s">
        <v>9</v>
      </c>
      <c r="G162" s="3">
        <v>141.24570230443749</v>
      </c>
      <c r="H162" s="1">
        <v>198284</v>
      </c>
    </row>
    <row r="163" spans="1:8" ht="17.25" customHeight="1" x14ac:dyDescent="0.2">
      <c r="A163" s="3">
        <v>0.3</v>
      </c>
      <c r="B163" s="1">
        <v>236</v>
      </c>
      <c r="C163" s="1">
        <v>2</v>
      </c>
      <c r="D163" s="2" t="s">
        <v>13</v>
      </c>
      <c r="E163" s="1">
        <v>35136</v>
      </c>
      <c r="F163" s="2" t="s">
        <v>9</v>
      </c>
      <c r="G163" s="3">
        <v>112.99656184354998</v>
      </c>
      <c r="H163" s="1">
        <v>158628</v>
      </c>
    </row>
    <row r="164" spans="1:8" ht="17.25" customHeight="1" x14ac:dyDescent="0.2">
      <c r="A164" s="3">
        <v>0.25</v>
      </c>
      <c r="B164" s="1">
        <v>177</v>
      </c>
      <c r="C164" s="1">
        <v>2</v>
      </c>
      <c r="D164" s="2" t="s">
        <v>13</v>
      </c>
      <c r="E164" s="1">
        <v>35136</v>
      </c>
      <c r="F164" s="2" t="s">
        <v>9</v>
      </c>
      <c r="G164" s="3">
        <v>84.747421382662509</v>
      </c>
      <c r="H164" s="1">
        <v>118990</v>
      </c>
    </row>
    <row r="165" spans="1:8" ht="17.25" customHeight="1" x14ac:dyDescent="0.2">
      <c r="A165" s="3">
        <v>0.2</v>
      </c>
      <c r="B165" s="1">
        <v>177</v>
      </c>
      <c r="C165" s="1">
        <v>2</v>
      </c>
      <c r="D165" s="2" t="s">
        <v>13</v>
      </c>
      <c r="E165" s="1">
        <v>35136</v>
      </c>
      <c r="F165" s="2" t="s">
        <v>9</v>
      </c>
      <c r="G165" s="3">
        <v>84.747421382662509</v>
      </c>
      <c r="H165" s="1">
        <v>118990</v>
      </c>
    </row>
    <row r="166" spans="1:8" ht="17.25" customHeight="1" x14ac:dyDescent="0.2">
      <c r="A166" s="3">
        <v>0.15</v>
      </c>
      <c r="B166" s="1">
        <v>118</v>
      </c>
      <c r="C166" s="1">
        <v>2</v>
      </c>
      <c r="D166" s="2" t="s">
        <v>13</v>
      </c>
      <c r="E166" s="1">
        <v>35136</v>
      </c>
      <c r="F166" s="2" t="s">
        <v>9</v>
      </c>
      <c r="G166" s="3">
        <v>56.498280921774992</v>
      </c>
      <c r="H166" s="1">
        <v>79329</v>
      </c>
    </row>
    <row r="167" spans="1:8" ht="17.25" customHeight="1" x14ac:dyDescent="0.2">
      <c r="A167" s="3">
        <v>0.1</v>
      </c>
      <c r="B167" s="1">
        <v>59</v>
      </c>
      <c r="C167" s="1">
        <v>2</v>
      </c>
      <c r="D167" s="2" t="s">
        <v>13</v>
      </c>
      <c r="E167" s="1">
        <v>35136</v>
      </c>
      <c r="F167" s="2" t="s">
        <v>9</v>
      </c>
      <c r="G167" s="3">
        <v>28.249140460887496</v>
      </c>
      <c r="H167" s="1">
        <v>39666</v>
      </c>
    </row>
    <row r="168" spans="1:8" ht="17.25" customHeight="1" x14ac:dyDescent="0.2">
      <c r="A168" s="3">
        <v>0.05</v>
      </c>
      <c r="B168" s="1">
        <v>0</v>
      </c>
      <c r="C168" s="1">
        <v>2</v>
      </c>
      <c r="D168" s="2" t="s">
        <v>13</v>
      </c>
      <c r="E168" s="1">
        <v>35136</v>
      </c>
      <c r="F168" s="2" t="s">
        <v>9</v>
      </c>
      <c r="G168" s="3">
        <v>0</v>
      </c>
      <c r="H168" s="1">
        <v>0</v>
      </c>
    </row>
    <row r="169" spans="1:8" ht="17.25" customHeight="1" x14ac:dyDescent="0.2">
      <c r="A169" s="1">
        <v>0</v>
      </c>
      <c r="B169" s="1">
        <v>0</v>
      </c>
      <c r="C169" s="1">
        <v>2</v>
      </c>
      <c r="D169" s="2" t="s">
        <v>13</v>
      </c>
      <c r="E169" s="1">
        <v>35136</v>
      </c>
      <c r="F169" s="2" t="s">
        <v>9</v>
      </c>
      <c r="G169" s="3">
        <v>0</v>
      </c>
      <c r="H169" s="1">
        <v>0</v>
      </c>
    </row>
    <row r="170" spans="1:8" ht="17.25" customHeight="1" x14ac:dyDescent="0.2">
      <c r="A170" s="1">
        <v>1</v>
      </c>
      <c r="B170" s="1">
        <v>885</v>
      </c>
      <c r="C170" s="1">
        <v>1</v>
      </c>
      <c r="D170" s="2" t="s">
        <v>10</v>
      </c>
      <c r="E170" s="1">
        <v>36117</v>
      </c>
      <c r="F170" s="2" t="s">
        <v>11</v>
      </c>
      <c r="G170" s="3">
        <v>423.73710691331252</v>
      </c>
      <c r="H170" s="1">
        <v>728181</v>
      </c>
    </row>
    <row r="171" spans="1:8" ht="17.25" customHeight="1" x14ac:dyDescent="0.2">
      <c r="A171" s="3">
        <v>0.95</v>
      </c>
      <c r="B171" s="1">
        <v>826</v>
      </c>
      <c r="C171" s="1">
        <v>1</v>
      </c>
      <c r="D171" s="2" t="s">
        <v>10</v>
      </c>
      <c r="E171" s="1">
        <v>36117</v>
      </c>
      <c r="F171" s="2" t="s">
        <v>11</v>
      </c>
      <c r="G171" s="3">
        <v>395.48796645242498</v>
      </c>
      <c r="H171" s="1">
        <v>679206</v>
      </c>
    </row>
    <row r="172" spans="1:8" ht="17.25" customHeight="1" x14ac:dyDescent="0.2">
      <c r="A172" s="3">
        <v>0.9</v>
      </c>
      <c r="B172" s="1">
        <v>767</v>
      </c>
      <c r="C172" s="1">
        <v>1</v>
      </c>
      <c r="D172" s="2" t="s">
        <v>10</v>
      </c>
      <c r="E172" s="1">
        <v>36117</v>
      </c>
      <c r="F172" s="2" t="s">
        <v>11</v>
      </c>
      <c r="G172" s="3">
        <v>367.23882599153751</v>
      </c>
      <c r="H172" s="1">
        <v>631093</v>
      </c>
    </row>
    <row r="173" spans="1:8" ht="17.25" customHeight="1" x14ac:dyDescent="0.2">
      <c r="A173" s="3">
        <v>0.75</v>
      </c>
      <c r="B173" s="1">
        <v>649</v>
      </c>
      <c r="C173" s="1">
        <v>1</v>
      </c>
      <c r="D173" s="2" t="s">
        <v>8</v>
      </c>
      <c r="E173" s="1">
        <v>35801</v>
      </c>
      <c r="F173" s="2" t="s">
        <v>11</v>
      </c>
      <c r="G173" s="3">
        <v>310.7405450697625</v>
      </c>
      <c r="H173" s="1">
        <v>493453</v>
      </c>
    </row>
    <row r="174" spans="1:8" ht="17.25" customHeight="1" x14ac:dyDescent="0.2">
      <c r="A174" s="3">
        <v>0.75</v>
      </c>
      <c r="B174" s="1">
        <v>649</v>
      </c>
      <c r="C174" s="1">
        <v>2</v>
      </c>
      <c r="D174" s="2" t="s">
        <v>8</v>
      </c>
      <c r="E174" s="1">
        <v>35769</v>
      </c>
      <c r="F174" s="2" t="s">
        <v>11</v>
      </c>
      <c r="G174" s="3">
        <v>310.7405450697625</v>
      </c>
      <c r="H174" s="1">
        <v>481720</v>
      </c>
    </row>
    <row r="175" spans="1:8" ht="17.25" customHeight="1" x14ac:dyDescent="0.2">
      <c r="A175" s="3">
        <v>0.8</v>
      </c>
      <c r="B175" s="1">
        <v>708</v>
      </c>
      <c r="C175" s="1">
        <v>1</v>
      </c>
      <c r="D175" s="2" t="s">
        <v>8</v>
      </c>
      <c r="E175" s="1">
        <v>35801</v>
      </c>
      <c r="F175" s="2" t="s">
        <v>11</v>
      </c>
      <c r="G175" s="3">
        <v>338.98968553065004</v>
      </c>
      <c r="H175" s="1">
        <v>538313</v>
      </c>
    </row>
    <row r="176" spans="1:8" ht="17.25" customHeight="1" x14ac:dyDescent="0.2">
      <c r="A176" s="3">
        <v>0.7</v>
      </c>
      <c r="B176" s="1">
        <v>590</v>
      </c>
      <c r="C176" s="1">
        <v>1</v>
      </c>
      <c r="D176" s="2" t="s">
        <v>10</v>
      </c>
      <c r="E176" s="1">
        <v>36117</v>
      </c>
      <c r="F176" s="2" t="s">
        <v>11</v>
      </c>
      <c r="G176" s="3">
        <v>282.49140460887497</v>
      </c>
      <c r="H176" s="1">
        <v>485458</v>
      </c>
    </row>
    <row r="177" spans="1:8" ht="17.25" customHeight="1" x14ac:dyDescent="0.2">
      <c r="A177" s="3">
        <v>0.65</v>
      </c>
      <c r="B177" s="1">
        <v>531</v>
      </c>
      <c r="C177" s="1">
        <v>1</v>
      </c>
      <c r="D177" s="2" t="s">
        <v>10</v>
      </c>
      <c r="E177" s="1">
        <v>36117</v>
      </c>
      <c r="F177" s="2" t="s">
        <v>11</v>
      </c>
      <c r="G177" s="3">
        <v>254.2422641479875</v>
      </c>
      <c r="H177" s="1">
        <v>436912</v>
      </c>
    </row>
    <row r="178" spans="1:8" ht="17.25" customHeight="1" x14ac:dyDescent="0.2">
      <c r="A178" s="3">
        <v>0.6</v>
      </c>
      <c r="B178" s="1">
        <v>531</v>
      </c>
      <c r="C178" s="1">
        <v>1</v>
      </c>
      <c r="D178" s="2" t="s">
        <v>10</v>
      </c>
      <c r="E178" s="1">
        <v>36117</v>
      </c>
      <c r="F178" s="2" t="s">
        <v>11</v>
      </c>
      <c r="G178" s="3">
        <v>254.2422641479875</v>
      </c>
      <c r="H178" s="1">
        <v>436912</v>
      </c>
    </row>
    <row r="179" spans="1:8" ht="17.25" customHeight="1" x14ac:dyDescent="0.2">
      <c r="A179" s="3">
        <v>0.55000000000000004</v>
      </c>
      <c r="B179" s="1">
        <v>472</v>
      </c>
      <c r="C179" s="1">
        <v>1</v>
      </c>
      <c r="D179" s="2" t="s">
        <v>10</v>
      </c>
      <c r="E179" s="1">
        <v>36117</v>
      </c>
      <c r="F179" s="2" t="s">
        <v>11</v>
      </c>
      <c r="G179" s="3">
        <v>225.99312368709997</v>
      </c>
      <c r="H179" s="1">
        <v>388368</v>
      </c>
    </row>
    <row r="180" spans="1:8" ht="17.25" customHeight="1" x14ac:dyDescent="0.2">
      <c r="A180" s="3">
        <v>0.5</v>
      </c>
      <c r="B180" s="1">
        <v>413</v>
      </c>
      <c r="C180" s="1">
        <v>1</v>
      </c>
      <c r="D180" s="2" t="s">
        <v>10</v>
      </c>
      <c r="E180" s="1">
        <v>36117</v>
      </c>
      <c r="F180" s="2" t="s">
        <v>11</v>
      </c>
      <c r="G180" s="3">
        <v>197.74398322621249</v>
      </c>
      <c r="H180" s="1">
        <v>339823</v>
      </c>
    </row>
    <row r="181" spans="1:8" ht="17.25" customHeight="1" x14ac:dyDescent="0.2">
      <c r="A181" s="3">
        <v>0.45</v>
      </c>
      <c r="B181" s="1">
        <v>354</v>
      </c>
      <c r="C181" s="1">
        <v>1</v>
      </c>
      <c r="D181" s="2" t="s">
        <v>10</v>
      </c>
      <c r="E181" s="1">
        <v>36117</v>
      </c>
      <c r="F181" s="2" t="s">
        <v>11</v>
      </c>
      <c r="G181" s="3">
        <v>169.49484276532502</v>
      </c>
      <c r="H181" s="1">
        <v>291278</v>
      </c>
    </row>
    <row r="182" spans="1:8" ht="17.25" customHeight="1" x14ac:dyDescent="0.2">
      <c r="A182" s="3">
        <v>0.4</v>
      </c>
      <c r="B182" s="1">
        <v>354</v>
      </c>
      <c r="C182" s="1">
        <v>1</v>
      </c>
      <c r="D182" s="2" t="s">
        <v>10</v>
      </c>
      <c r="E182" s="1">
        <v>36117</v>
      </c>
      <c r="F182" s="2" t="s">
        <v>11</v>
      </c>
      <c r="G182" s="3">
        <v>169.49484276532502</v>
      </c>
      <c r="H182" s="1">
        <v>291278</v>
      </c>
    </row>
    <row r="183" spans="1:8" ht="17.25" customHeight="1" x14ac:dyDescent="0.2">
      <c r="A183" s="3">
        <v>0.35</v>
      </c>
      <c r="B183" s="1">
        <v>295</v>
      </c>
      <c r="C183" s="1">
        <v>1</v>
      </c>
      <c r="D183" s="2" t="s">
        <v>10</v>
      </c>
      <c r="E183" s="1">
        <v>36117</v>
      </c>
      <c r="F183" s="2" t="s">
        <v>11</v>
      </c>
      <c r="G183" s="3">
        <v>141.24570230443749</v>
      </c>
      <c r="H183" s="1">
        <v>242749</v>
      </c>
    </row>
    <row r="184" spans="1:8" ht="17.25" customHeight="1" x14ac:dyDescent="0.2">
      <c r="A184" s="3">
        <v>0.3</v>
      </c>
      <c r="B184" s="1">
        <v>236</v>
      </c>
      <c r="C184" s="1">
        <v>1</v>
      </c>
      <c r="D184" s="2" t="s">
        <v>10</v>
      </c>
      <c r="E184" s="1">
        <v>36117</v>
      </c>
      <c r="F184" s="2" t="s">
        <v>11</v>
      </c>
      <c r="G184" s="3">
        <v>112.99656184354998</v>
      </c>
      <c r="H184" s="1">
        <v>194202</v>
      </c>
    </row>
    <row r="185" spans="1:8" ht="17.25" customHeight="1" x14ac:dyDescent="0.2">
      <c r="A185" s="3">
        <v>0.25</v>
      </c>
      <c r="B185" s="1">
        <v>177</v>
      </c>
      <c r="C185" s="1">
        <v>1</v>
      </c>
      <c r="D185" s="2" t="s">
        <v>10</v>
      </c>
      <c r="E185" s="1">
        <v>36117</v>
      </c>
      <c r="F185" s="2" t="s">
        <v>11</v>
      </c>
      <c r="G185" s="3">
        <v>84.747421382662509</v>
      </c>
      <c r="H185" s="1">
        <v>145656</v>
      </c>
    </row>
    <row r="186" spans="1:8" ht="17.25" customHeight="1" x14ac:dyDescent="0.2">
      <c r="A186" s="3">
        <v>0.2</v>
      </c>
      <c r="B186" s="1">
        <v>177</v>
      </c>
      <c r="C186" s="1">
        <v>1</v>
      </c>
      <c r="D186" s="2" t="s">
        <v>10</v>
      </c>
      <c r="E186" s="1">
        <v>36117</v>
      </c>
      <c r="F186" s="2" t="s">
        <v>11</v>
      </c>
      <c r="G186" s="3">
        <v>84.747421382662509</v>
      </c>
      <c r="H186" s="1">
        <v>145656</v>
      </c>
    </row>
    <row r="187" spans="1:8" ht="17.25" customHeight="1" x14ac:dyDescent="0.2">
      <c r="A187" s="3">
        <v>0.15</v>
      </c>
      <c r="B187" s="1">
        <v>118</v>
      </c>
      <c r="C187" s="1">
        <v>1</v>
      </c>
      <c r="D187" s="2" t="s">
        <v>10</v>
      </c>
      <c r="E187" s="1">
        <v>36117</v>
      </c>
      <c r="F187" s="2" t="s">
        <v>11</v>
      </c>
      <c r="G187" s="3">
        <v>56.498280921774992</v>
      </c>
      <c r="H187" s="1">
        <v>97109</v>
      </c>
    </row>
    <row r="188" spans="1:8" ht="17.25" customHeight="1" x14ac:dyDescent="0.2">
      <c r="A188" s="3">
        <v>0.1</v>
      </c>
      <c r="B188" s="1">
        <v>59</v>
      </c>
      <c r="C188" s="1">
        <v>1</v>
      </c>
      <c r="D188" s="2" t="s">
        <v>10</v>
      </c>
      <c r="E188" s="1">
        <v>36117</v>
      </c>
      <c r="F188" s="2" t="s">
        <v>11</v>
      </c>
      <c r="G188" s="3">
        <v>28.249140460887496</v>
      </c>
      <c r="H188" s="1">
        <v>48559</v>
      </c>
    </row>
    <row r="189" spans="1:8" ht="17.25" customHeight="1" x14ac:dyDescent="0.2">
      <c r="A189" s="3">
        <v>0.05</v>
      </c>
      <c r="B189" s="1">
        <v>0</v>
      </c>
      <c r="C189" s="1">
        <v>1</v>
      </c>
      <c r="D189" s="2" t="s">
        <v>10</v>
      </c>
      <c r="E189" s="1">
        <v>36117</v>
      </c>
      <c r="F189" s="2" t="s">
        <v>11</v>
      </c>
      <c r="G189" s="3">
        <v>0</v>
      </c>
      <c r="H189" s="1">
        <v>0</v>
      </c>
    </row>
    <row r="190" spans="1:8" ht="17.25" customHeight="1" x14ac:dyDescent="0.2">
      <c r="A190" s="1">
        <v>0</v>
      </c>
      <c r="B190" s="1">
        <v>0</v>
      </c>
      <c r="C190" s="1">
        <v>1</v>
      </c>
      <c r="D190" s="2" t="s">
        <v>10</v>
      </c>
      <c r="E190" s="1">
        <v>36117</v>
      </c>
      <c r="F190" s="2" t="s">
        <v>11</v>
      </c>
      <c r="G190" s="3">
        <v>0</v>
      </c>
      <c r="H190" s="1">
        <v>0</v>
      </c>
    </row>
    <row r="191" spans="1:8" ht="17.25" customHeight="1" x14ac:dyDescent="0.2">
      <c r="A191" s="1">
        <v>1</v>
      </c>
      <c r="B191" s="1">
        <v>885</v>
      </c>
      <c r="C191" s="1">
        <v>1</v>
      </c>
      <c r="D191" s="2" t="s">
        <v>10</v>
      </c>
      <c r="E191" s="1">
        <v>36117</v>
      </c>
      <c r="F191" s="2" t="s">
        <v>9</v>
      </c>
      <c r="G191" s="3">
        <v>423.73710691331252</v>
      </c>
      <c r="H191" s="1">
        <v>629523</v>
      </c>
    </row>
    <row r="192" spans="1:8" ht="17.25" customHeight="1" x14ac:dyDescent="0.2">
      <c r="A192" s="3">
        <v>0.95</v>
      </c>
      <c r="B192" s="1">
        <v>826</v>
      </c>
      <c r="C192" s="1">
        <v>1</v>
      </c>
      <c r="D192" s="2" t="s">
        <v>10</v>
      </c>
      <c r="E192" s="1">
        <v>36117</v>
      </c>
      <c r="F192" s="2" t="s">
        <v>9</v>
      </c>
      <c r="G192" s="3">
        <v>395.48796645242498</v>
      </c>
      <c r="H192" s="1">
        <v>587555</v>
      </c>
    </row>
    <row r="193" spans="1:8" ht="17.25" customHeight="1" x14ac:dyDescent="0.2">
      <c r="A193" s="3">
        <v>0.9</v>
      </c>
      <c r="B193" s="1">
        <v>767</v>
      </c>
      <c r="C193" s="1">
        <v>1</v>
      </c>
      <c r="D193" s="2" t="s">
        <v>10</v>
      </c>
      <c r="E193" s="1">
        <v>36117</v>
      </c>
      <c r="F193" s="2" t="s">
        <v>9</v>
      </c>
      <c r="G193" s="3">
        <v>367.23882599153751</v>
      </c>
      <c r="H193" s="1">
        <v>545586</v>
      </c>
    </row>
    <row r="194" spans="1:8" ht="17.25" customHeight="1" x14ac:dyDescent="0.2">
      <c r="A194" s="3">
        <v>0.85</v>
      </c>
      <c r="B194" s="1">
        <v>708</v>
      </c>
      <c r="C194" s="1">
        <v>1</v>
      </c>
      <c r="D194" s="2" t="s">
        <v>10</v>
      </c>
      <c r="E194" s="1">
        <v>36117</v>
      </c>
      <c r="F194" s="2" t="s">
        <v>9</v>
      </c>
      <c r="G194" s="3">
        <v>338.98968553065004</v>
      </c>
      <c r="H194" s="1">
        <v>503618</v>
      </c>
    </row>
    <row r="195" spans="1:8" ht="17.25" customHeight="1" x14ac:dyDescent="0.2">
      <c r="A195" s="3">
        <v>0.8</v>
      </c>
      <c r="B195" s="1">
        <v>708</v>
      </c>
      <c r="C195" s="1">
        <v>1</v>
      </c>
      <c r="D195" s="2" t="s">
        <v>10</v>
      </c>
      <c r="E195" s="1">
        <v>36117</v>
      </c>
      <c r="F195" s="2" t="s">
        <v>9</v>
      </c>
      <c r="G195" s="3">
        <v>338.98968553065004</v>
      </c>
      <c r="H195" s="1">
        <v>503618</v>
      </c>
    </row>
    <row r="196" spans="1:8" ht="17.25" customHeight="1" x14ac:dyDescent="0.2">
      <c r="A196" s="3">
        <v>0.75</v>
      </c>
      <c r="B196" s="1">
        <v>649</v>
      </c>
      <c r="C196" s="1">
        <v>1</v>
      </c>
      <c r="D196" s="2" t="s">
        <v>10</v>
      </c>
      <c r="E196" s="1">
        <v>36117</v>
      </c>
      <c r="F196" s="2" t="s">
        <v>9</v>
      </c>
      <c r="G196" s="3">
        <v>310.7405450697625</v>
      </c>
      <c r="H196" s="1">
        <v>461649</v>
      </c>
    </row>
    <row r="197" spans="1:8" ht="17.25" customHeight="1" x14ac:dyDescent="0.2">
      <c r="A197" s="3">
        <v>0.7</v>
      </c>
      <c r="B197" s="1">
        <v>590</v>
      </c>
      <c r="C197" s="1">
        <v>1</v>
      </c>
      <c r="D197" s="2" t="s">
        <v>10</v>
      </c>
      <c r="E197" s="1">
        <v>36117</v>
      </c>
      <c r="F197" s="2" t="s">
        <v>9</v>
      </c>
      <c r="G197" s="3">
        <v>282.49140460887497</v>
      </c>
      <c r="H197" s="1">
        <v>419681</v>
      </c>
    </row>
    <row r="198" spans="1:8" ht="17.25" customHeight="1" x14ac:dyDescent="0.2">
      <c r="A198" s="3">
        <v>0.65</v>
      </c>
      <c r="B198" s="1">
        <v>531</v>
      </c>
      <c r="C198" s="1">
        <v>1</v>
      </c>
      <c r="D198" s="2" t="s">
        <v>10</v>
      </c>
      <c r="E198" s="1">
        <v>36117</v>
      </c>
      <c r="F198" s="2" t="s">
        <v>9</v>
      </c>
      <c r="G198" s="3">
        <v>254.2422641479875</v>
      </c>
      <c r="H198" s="1">
        <v>377712</v>
      </c>
    </row>
    <row r="199" spans="1:8" ht="17.25" customHeight="1" x14ac:dyDescent="0.2">
      <c r="A199" s="3">
        <v>0.6</v>
      </c>
      <c r="B199" s="1">
        <v>531</v>
      </c>
      <c r="C199" s="1">
        <v>1</v>
      </c>
      <c r="D199" s="2" t="s">
        <v>10</v>
      </c>
      <c r="E199" s="1">
        <v>36117</v>
      </c>
      <c r="F199" s="2" t="s">
        <v>9</v>
      </c>
      <c r="G199" s="3">
        <v>254.2422641479875</v>
      </c>
      <c r="H199" s="1">
        <v>377712</v>
      </c>
    </row>
    <row r="200" spans="1:8" ht="17.25" customHeight="1" x14ac:dyDescent="0.2">
      <c r="A200" s="3">
        <v>0.55000000000000004</v>
      </c>
      <c r="B200" s="1">
        <v>472</v>
      </c>
      <c r="C200" s="1">
        <v>1</v>
      </c>
      <c r="D200" s="2" t="s">
        <v>10</v>
      </c>
      <c r="E200" s="1">
        <v>36117</v>
      </c>
      <c r="F200" s="2" t="s">
        <v>9</v>
      </c>
      <c r="G200" s="3">
        <v>225.99312368709997</v>
      </c>
      <c r="H200" s="1">
        <v>335743</v>
      </c>
    </row>
    <row r="201" spans="1:8" ht="17.25" customHeight="1" x14ac:dyDescent="0.2">
      <c r="A201" s="3">
        <v>0.5</v>
      </c>
      <c r="B201" s="1">
        <v>413</v>
      </c>
      <c r="C201" s="1">
        <v>1</v>
      </c>
      <c r="D201" s="2" t="s">
        <v>10</v>
      </c>
      <c r="E201" s="1">
        <v>36117</v>
      </c>
      <c r="F201" s="2" t="s">
        <v>9</v>
      </c>
      <c r="G201" s="3">
        <v>197.74398322621249</v>
      </c>
      <c r="H201" s="1">
        <v>293774</v>
      </c>
    </row>
    <row r="202" spans="1:8" ht="17.25" customHeight="1" x14ac:dyDescent="0.2">
      <c r="A202" s="3">
        <v>0.45</v>
      </c>
      <c r="B202" s="1">
        <v>354</v>
      </c>
      <c r="C202" s="1">
        <v>1</v>
      </c>
      <c r="D202" s="2" t="s">
        <v>10</v>
      </c>
      <c r="E202" s="1">
        <v>36117</v>
      </c>
      <c r="F202" s="2" t="s">
        <v>9</v>
      </c>
      <c r="G202" s="3">
        <v>169.49484276532502</v>
      </c>
      <c r="H202" s="1">
        <v>251806</v>
      </c>
    </row>
    <row r="203" spans="1:8" ht="17.25" customHeight="1" x14ac:dyDescent="0.2">
      <c r="A203" s="3">
        <v>0.4</v>
      </c>
      <c r="B203" s="1">
        <v>354</v>
      </c>
      <c r="C203" s="1">
        <v>1</v>
      </c>
      <c r="D203" s="2" t="s">
        <v>10</v>
      </c>
      <c r="E203" s="1">
        <v>36117</v>
      </c>
      <c r="F203" s="2" t="s">
        <v>9</v>
      </c>
      <c r="G203" s="3">
        <v>169.49484276532502</v>
      </c>
      <c r="H203" s="1">
        <v>251806</v>
      </c>
    </row>
    <row r="204" spans="1:8" ht="17.25" customHeight="1" x14ac:dyDescent="0.2">
      <c r="A204" s="3">
        <v>0.35</v>
      </c>
      <c r="B204" s="1">
        <v>295</v>
      </c>
      <c r="C204" s="1">
        <v>1</v>
      </c>
      <c r="D204" s="2" t="s">
        <v>10</v>
      </c>
      <c r="E204" s="1">
        <v>36117</v>
      </c>
      <c r="F204" s="2" t="s">
        <v>9</v>
      </c>
      <c r="G204" s="3">
        <v>141.24570230443749</v>
      </c>
      <c r="H204" s="1">
        <v>209851</v>
      </c>
    </row>
    <row r="205" spans="1:8" ht="17.25" customHeight="1" x14ac:dyDescent="0.2">
      <c r="A205" s="3">
        <v>0.3</v>
      </c>
      <c r="B205" s="1">
        <v>236</v>
      </c>
      <c r="C205" s="1">
        <v>1</v>
      </c>
      <c r="D205" s="2" t="s">
        <v>10</v>
      </c>
      <c r="E205" s="1">
        <v>36117</v>
      </c>
      <c r="F205" s="2" t="s">
        <v>9</v>
      </c>
      <c r="G205" s="3">
        <v>112.99656184354998</v>
      </c>
      <c r="H205" s="1">
        <v>167883</v>
      </c>
    </row>
    <row r="206" spans="1:8" ht="17.25" customHeight="1" x14ac:dyDescent="0.2">
      <c r="A206" s="3">
        <v>0.25</v>
      </c>
      <c r="B206" s="1">
        <v>177</v>
      </c>
      <c r="C206" s="1">
        <v>1</v>
      </c>
      <c r="D206" s="2" t="s">
        <v>10</v>
      </c>
      <c r="E206" s="1">
        <v>36117</v>
      </c>
      <c r="F206" s="2" t="s">
        <v>9</v>
      </c>
      <c r="G206" s="3">
        <v>84.747421382662509</v>
      </c>
      <c r="H206" s="1">
        <v>125934</v>
      </c>
    </row>
    <row r="207" spans="1:8" ht="17.25" customHeight="1" x14ac:dyDescent="0.2">
      <c r="A207" s="3">
        <v>0.2</v>
      </c>
      <c r="B207" s="1">
        <v>177</v>
      </c>
      <c r="C207" s="1">
        <v>1</v>
      </c>
      <c r="D207" s="2" t="s">
        <v>10</v>
      </c>
      <c r="E207" s="1">
        <v>36117</v>
      </c>
      <c r="F207" s="2" t="s">
        <v>9</v>
      </c>
      <c r="G207" s="3">
        <v>84.747421382662509</v>
      </c>
      <c r="H207" s="1">
        <v>125934</v>
      </c>
    </row>
    <row r="208" spans="1:8" ht="17.25" customHeight="1" x14ac:dyDescent="0.2">
      <c r="A208" s="3">
        <v>0.15</v>
      </c>
      <c r="B208" s="1">
        <v>118</v>
      </c>
      <c r="C208" s="1">
        <v>1</v>
      </c>
      <c r="D208" s="2" t="s">
        <v>10</v>
      </c>
      <c r="E208" s="1">
        <v>36117</v>
      </c>
      <c r="F208" s="2" t="s">
        <v>9</v>
      </c>
      <c r="G208" s="3">
        <v>56.498280921774992</v>
      </c>
      <c r="H208" s="1">
        <v>83958</v>
      </c>
    </row>
    <row r="209" spans="1:8" ht="17.25" customHeight="1" x14ac:dyDescent="0.2">
      <c r="A209" s="3">
        <v>0.1</v>
      </c>
      <c r="B209" s="1">
        <v>59</v>
      </c>
      <c r="C209" s="1">
        <v>1</v>
      </c>
      <c r="D209" s="2" t="s">
        <v>10</v>
      </c>
      <c r="E209" s="1">
        <v>36117</v>
      </c>
      <c r="F209" s="2" t="s">
        <v>9</v>
      </c>
      <c r="G209" s="3">
        <v>28.249140460887496</v>
      </c>
      <c r="H209" s="1">
        <v>41981</v>
      </c>
    </row>
    <row r="210" spans="1:8" ht="17.25" customHeight="1" x14ac:dyDescent="0.2">
      <c r="A210" s="3">
        <v>0.05</v>
      </c>
      <c r="B210" s="1">
        <v>0</v>
      </c>
      <c r="C210" s="1">
        <v>1</v>
      </c>
      <c r="D210" s="2" t="s">
        <v>10</v>
      </c>
      <c r="E210" s="1">
        <v>36117</v>
      </c>
      <c r="F210" s="2" t="s">
        <v>9</v>
      </c>
      <c r="G210" s="3">
        <v>0</v>
      </c>
      <c r="H210" s="1">
        <v>0</v>
      </c>
    </row>
    <row r="211" spans="1:8" ht="17.25" customHeight="1" x14ac:dyDescent="0.2">
      <c r="A211" s="1">
        <v>0</v>
      </c>
      <c r="B211" s="1">
        <v>0</v>
      </c>
      <c r="C211" s="1">
        <v>1</v>
      </c>
      <c r="D211" s="2" t="s">
        <v>10</v>
      </c>
      <c r="E211" s="1">
        <v>36117</v>
      </c>
      <c r="F211" s="2" t="s">
        <v>9</v>
      </c>
      <c r="G211" s="3">
        <v>0</v>
      </c>
      <c r="H211" s="1">
        <v>0</v>
      </c>
    </row>
    <row r="212" spans="1:8" ht="17.25" customHeight="1" x14ac:dyDescent="0.2">
      <c r="A212" s="1">
        <v>1</v>
      </c>
      <c r="B212" s="1">
        <v>885</v>
      </c>
      <c r="C212" s="1">
        <v>2</v>
      </c>
      <c r="D212" s="2" t="s">
        <v>10</v>
      </c>
      <c r="E212" s="1">
        <v>36040</v>
      </c>
      <c r="F212" s="2" t="s">
        <v>11</v>
      </c>
      <c r="G212" s="3">
        <v>423.73710691331252</v>
      </c>
      <c r="H212" s="1">
        <v>703393</v>
      </c>
    </row>
    <row r="213" spans="1:8" ht="17.25" customHeight="1" x14ac:dyDescent="0.2">
      <c r="A213" s="3">
        <v>0.95</v>
      </c>
      <c r="B213" s="1">
        <v>826</v>
      </c>
      <c r="C213" s="1">
        <v>2</v>
      </c>
      <c r="D213" s="2" t="s">
        <v>10</v>
      </c>
      <c r="E213" s="1">
        <v>36040</v>
      </c>
      <c r="F213" s="2" t="s">
        <v>11</v>
      </c>
      <c r="G213" s="3">
        <v>395.48796645242498</v>
      </c>
      <c r="H213" s="1">
        <v>656501</v>
      </c>
    </row>
    <row r="214" spans="1:8" ht="17.25" customHeight="1" x14ac:dyDescent="0.2">
      <c r="A214" s="3">
        <v>0.9</v>
      </c>
      <c r="B214" s="1">
        <v>767</v>
      </c>
      <c r="C214" s="1">
        <v>2</v>
      </c>
      <c r="D214" s="2" t="s">
        <v>10</v>
      </c>
      <c r="E214" s="1">
        <v>36040</v>
      </c>
      <c r="F214" s="2" t="s">
        <v>11</v>
      </c>
      <c r="G214" s="3">
        <v>367.23882599153751</v>
      </c>
      <c r="H214" s="1">
        <v>609610</v>
      </c>
    </row>
    <row r="215" spans="1:8" ht="17.25" customHeight="1" x14ac:dyDescent="0.2">
      <c r="A215" s="3">
        <v>0.8</v>
      </c>
      <c r="B215" s="1">
        <v>708</v>
      </c>
      <c r="C215" s="1">
        <v>2</v>
      </c>
      <c r="D215" s="2" t="s">
        <v>8</v>
      </c>
      <c r="E215" s="1">
        <v>35769</v>
      </c>
      <c r="F215" s="2" t="s">
        <v>11</v>
      </c>
      <c r="G215" s="3">
        <v>338.98968553065004</v>
      </c>
      <c r="H215" s="1">
        <v>525513</v>
      </c>
    </row>
    <row r="216" spans="1:8" ht="17.25" customHeight="1" x14ac:dyDescent="0.2">
      <c r="A216" s="3">
        <v>0.85</v>
      </c>
      <c r="B216" s="1">
        <v>708</v>
      </c>
      <c r="C216" s="1">
        <v>1</v>
      </c>
      <c r="D216" s="2" t="s">
        <v>8</v>
      </c>
      <c r="E216" s="1">
        <v>35801</v>
      </c>
      <c r="F216" s="2" t="s">
        <v>11</v>
      </c>
      <c r="G216" s="3">
        <v>338.98968553065004</v>
      </c>
      <c r="H216" s="1">
        <v>538313</v>
      </c>
    </row>
    <row r="217" spans="1:8" ht="17.25" customHeight="1" x14ac:dyDescent="0.2">
      <c r="A217" s="3">
        <v>0.85</v>
      </c>
      <c r="B217" s="1">
        <v>708</v>
      </c>
      <c r="C217" s="1">
        <v>2</v>
      </c>
      <c r="D217" s="2" t="s">
        <v>8</v>
      </c>
      <c r="E217" s="1">
        <v>35769</v>
      </c>
      <c r="F217" s="2" t="s">
        <v>11</v>
      </c>
      <c r="G217" s="3">
        <v>338.98968553065004</v>
      </c>
      <c r="H217" s="1">
        <v>525513</v>
      </c>
    </row>
    <row r="218" spans="1:8" ht="17.25" customHeight="1" x14ac:dyDescent="0.2">
      <c r="A218" s="3">
        <v>0.7</v>
      </c>
      <c r="B218" s="1">
        <v>590</v>
      </c>
      <c r="C218" s="1">
        <v>2</v>
      </c>
      <c r="D218" s="2" t="s">
        <v>10</v>
      </c>
      <c r="E218" s="1">
        <v>36040</v>
      </c>
      <c r="F218" s="2" t="s">
        <v>11</v>
      </c>
      <c r="G218" s="3">
        <v>282.49140460887497</v>
      </c>
      <c r="H218" s="1">
        <v>468932</v>
      </c>
    </row>
    <row r="219" spans="1:8" ht="17.25" customHeight="1" x14ac:dyDescent="0.2">
      <c r="A219" s="3">
        <v>0.65</v>
      </c>
      <c r="B219" s="1">
        <v>531</v>
      </c>
      <c r="C219" s="1">
        <v>2</v>
      </c>
      <c r="D219" s="2" t="s">
        <v>10</v>
      </c>
      <c r="E219" s="1">
        <v>36040</v>
      </c>
      <c r="F219" s="2" t="s">
        <v>11</v>
      </c>
      <c r="G219" s="3">
        <v>254.2422641479875</v>
      </c>
      <c r="H219" s="1">
        <v>422039</v>
      </c>
    </row>
    <row r="220" spans="1:8" ht="17.25" customHeight="1" x14ac:dyDescent="0.2">
      <c r="A220" s="3">
        <v>0.6</v>
      </c>
      <c r="B220" s="1">
        <v>531</v>
      </c>
      <c r="C220" s="1">
        <v>2</v>
      </c>
      <c r="D220" s="2" t="s">
        <v>10</v>
      </c>
      <c r="E220" s="1">
        <v>36040</v>
      </c>
      <c r="F220" s="2" t="s">
        <v>11</v>
      </c>
      <c r="G220" s="3">
        <v>254.2422641479875</v>
      </c>
      <c r="H220" s="1">
        <v>422039</v>
      </c>
    </row>
    <row r="221" spans="1:8" ht="17.25" customHeight="1" x14ac:dyDescent="0.2">
      <c r="A221" s="3">
        <v>0.55000000000000004</v>
      </c>
      <c r="B221" s="1">
        <v>472</v>
      </c>
      <c r="C221" s="1">
        <v>2</v>
      </c>
      <c r="D221" s="2" t="s">
        <v>10</v>
      </c>
      <c r="E221" s="1">
        <v>36040</v>
      </c>
      <c r="F221" s="2" t="s">
        <v>11</v>
      </c>
      <c r="G221" s="3">
        <v>225.99312368709997</v>
      </c>
      <c r="H221" s="1">
        <v>375147</v>
      </c>
    </row>
    <row r="222" spans="1:8" ht="17.25" customHeight="1" x14ac:dyDescent="0.2">
      <c r="A222" s="3">
        <v>0.5</v>
      </c>
      <c r="B222" s="1">
        <v>413</v>
      </c>
      <c r="C222" s="1">
        <v>2</v>
      </c>
      <c r="D222" s="2" t="s">
        <v>10</v>
      </c>
      <c r="E222" s="1">
        <v>36040</v>
      </c>
      <c r="F222" s="2" t="s">
        <v>11</v>
      </c>
      <c r="G222" s="3">
        <v>197.74398322621249</v>
      </c>
      <c r="H222" s="1">
        <v>328254</v>
      </c>
    </row>
    <row r="223" spans="1:8" ht="17.25" customHeight="1" x14ac:dyDescent="0.2">
      <c r="A223" s="3">
        <v>0.45</v>
      </c>
      <c r="B223" s="1">
        <v>354</v>
      </c>
      <c r="C223" s="1">
        <v>2</v>
      </c>
      <c r="D223" s="2" t="s">
        <v>10</v>
      </c>
      <c r="E223" s="1">
        <v>36040</v>
      </c>
      <c r="F223" s="2" t="s">
        <v>11</v>
      </c>
      <c r="G223" s="3">
        <v>169.49484276532502</v>
      </c>
      <c r="H223" s="1">
        <v>281362</v>
      </c>
    </row>
    <row r="224" spans="1:8" ht="17.25" customHeight="1" x14ac:dyDescent="0.2">
      <c r="A224" s="3">
        <v>0.4</v>
      </c>
      <c r="B224" s="1">
        <v>354</v>
      </c>
      <c r="C224" s="1">
        <v>2</v>
      </c>
      <c r="D224" s="2" t="s">
        <v>10</v>
      </c>
      <c r="E224" s="1">
        <v>36040</v>
      </c>
      <c r="F224" s="2" t="s">
        <v>11</v>
      </c>
      <c r="G224" s="3">
        <v>169.49484276532502</v>
      </c>
      <c r="H224" s="1">
        <v>281362</v>
      </c>
    </row>
    <row r="225" spans="1:8" ht="17.25" customHeight="1" x14ac:dyDescent="0.2">
      <c r="A225" s="3">
        <v>0.35</v>
      </c>
      <c r="B225" s="1">
        <v>295</v>
      </c>
      <c r="C225" s="1">
        <v>2</v>
      </c>
      <c r="D225" s="2" t="s">
        <v>10</v>
      </c>
      <c r="E225" s="1">
        <v>36040</v>
      </c>
      <c r="F225" s="2" t="s">
        <v>11</v>
      </c>
      <c r="G225" s="3">
        <v>141.24570230443749</v>
      </c>
      <c r="H225" s="1">
        <v>234485</v>
      </c>
    </row>
    <row r="226" spans="1:8" ht="17.25" customHeight="1" x14ac:dyDescent="0.2">
      <c r="A226" s="3">
        <v>0.3</v>
      </c>
      <c r="B226" s="1">
        <v>236</v>
      </c>
      <c r="C226" s="1">
        <v>2</v>
      </c>
      <c r="D226" s="2" t="s">
        <v>10</v>
      </c>
      <c r="E226" s="1">
        <v>36040</v>
      </c>
      <c r="F226" s="2" t="s">
        <v>11</v>
      </c>
      <c r="G226" s="3">
        <v>112.99656184354998</v>
      </c>
      <c r="H226" s="1">
        <v>187591</v>
      </c>
    </row>
    <row r="227" spans="1:8" ht="17.25" customHeight="1" x14ac:dyDescent="0.2">
      <c r="A227" s="3">
        <v>0.25</v>
      </c>
      <c r="B227" s="1">
        <v>177</v>
      </c>
      <c r="C227" s="1">
        <v>2</v>
      </c>
      <c r="D227" s="2" t="s">
        <v>10</v>
      </c>
      <c r="E227" s="1">
        <v>36040</v>
      </c>
      <c r="F227" s="2" t="s">
        <v>11</v>
      </c>
      <c r="G227" s="3">
        <v>84.747421382662509</v>
      </c>
      <c r="H227" s="1">
        <v>140697</v>
      </c>
    </row>
    <row r="228" spans="1:8" ht="17.25" customHeight="1" x14ac:dyDescent="0.2">
      <c r="A228" s="3">
        <v>0.2</v>
      </c>
      <c r="B228" s="1">
        <v>177</v>
      </c>
      <c r="C228" s="1">
        <v>2</v>
      </c>
      <c r="D228" s="2" t="s">
        <v>10</v>
      </c>
      <c r="E228" s="1">
        <v>36040</v>
      </c>
      <c r="F228" s="2" t="s">
        <v>11</v>
      </c>
      <c r="G228" s="3">
        <v>84.747421382662509</v>
      </c>
      <c r="H228" s="1">
        <v>140697</v>
      </c>
    </row>
    <row r="229" spans="1:8" ht="17.25" customHeight="1" x14ac:dyDescent="0.2">
      <c r="A229" s="3">
        <v>0.15</v>
      </c>
      <c r="B229" s="1">
        <v>118</v>
      </c>
      <c r="C229" s="1">
        <v>2</v>
      </c>
      <c r="D229" s="2" t="s">
        <v>10</v>
      </c>
      <c r="E229" s="1">
        <v>36040</v>
      </c>
      <c r="F229" s="2" t="s">
        <v>11</v>
      </c>
      <c r="G229" s="3">
        <v>56.498280921774992</v>
      </c>
      <c r="H229" s="1">
        <v>93802</v>
      </c>
    </row>
    <row r="230" spans="1:8" ht="17.25" customHeight="1" x14ac:dyDescent="0.2">
      <c r="A230" s="3">
        <v>0.1</v>
      </c>
      <c r="B230" s="1">
        <v>59</v>
      </c>
      <c r="C230" s="1">
        <v>2</v>
      </c>
      <c r="D230" s="2" t="s">
        <v>10</v>
      </c>
      <c r="E230" s="1">
        <v>36040</v>
      </c>
      <c r="F230" s="2" t="s">
        <v>11</v>
      </c>
      <c r="G230" s="3">
        <v>28.249140460887496</v>
      </c>
      <c r="H230" s="1">
        <v>46905</v>
      </c>
    </row>
    <row r="231" spans="1:8" ht="17.25" customHeight="1" x14ac:dyDescent="0.2">
      <c r="A231" s="3">
        <v>0.05</v>
      </c>
      <c r="B231" s="1">
        <v>0</v>
      </c>
      <c r="C231" s="1">
        <v>2</v>
      </c>
      <c r="D231" s="2" t="s">
        <v>10</v>
      </c>
      <c r="E231" s="1">
        <v>36040</v>
      </c>
      <c r="F231" s="2" t="s">
        <v>11</v>
      </c>
      <c r="G231" s="3">
        <v>0</v>
      </c>
      <c r="H231" s="1">
        <v>0</v>
      </c>
    </row>
    <row r="232" spans="1:8" ht="17.25" customHeight="1" x14ac:dyDescent="0.2">
      <c r="A232" s="1">
        <v>0</v>
      </c>
      <c r="B232" s="1">
        <v>0</v>
      </c>
      <c r="C232" s="1">
        <v>2</v>
      </c>
      <c r="D232" s="2" t="s">
        <v>10</v>
      </c>
      <c r="E232" s="1">
        <v>36040</v>
      </c>
      <c r="F232" s="2" t="s">
        <v>11</v>
      </c>
      <c r="G232" s="3">
        <v>0</v>
      </c>
      <c r="H232" s="1">
        <v>0</v>
      </c>
    </row>
    <row r="233" spans="1:8" ht="17.25" customHeight="1" x14ac:dyDescent="0.2">
      <c r="A233" s="1">
        <v>1</v>
      </c>
      <c r="B233" s="1">
        <v>885</v>
      </c>
      <c r="C233" s="1">
        <v>2</v>
      </c>
      <c r="D233" s="2" t="s">
        <v>10</v>
      </c>
      <c r="E233" s="1">
        <v>36040</v>
      </c>
      <c r="F233" s="2" t="s">
        <v>9</v>
      </c>
      <c r="G233" s="3">
        <v>423.73710691331252</v>
      </c>
      <c r="H233" s="1">
        <v>608402</v>
      </c>
    </row>
    <row r="234" spans="1:8" ht="17.25" customHeight="1" x14ac:dyDescent="0.2">
      <c r="A234" s="3">
        <v>0.95</v>
      </c>
      <c r="B234" s="1">
        <v>826</v>
      </c>
      <c r="C234" s="1">
        <v>2</v>
      </c>
      <c r="D234" s="2" t="s">
        <v>10</v>
      </c>
      <c r="E234" s="1">
        <v>36040</v>
      </c>
      <c r="F234" s="2" t="s">
        <v>9</v>
      </c>
      <c r="G234" s="3">
        <v>395.48796645242498</v>
      </c>
      <c r="H234" s="1">
        <v>567842</v>
      </c>
    </row>
    <row r="235" spans="1:8" ht="17.25" customHeight="1" x14ac:dyDescent="0.2">
      <c r="A235" s="3">
        <v>0.9</v>
      </c>
      <c r="B235" s="1">
        <v>767</v>
      </c>
      <c r="C235" s="1">
        <v>2</v>
      </c>
      <c r="D235" s="2" t="s">
        <v>10</v>
      </c>
      <c r="E235" s="1">
        <v>36040</v>
      </c>
      <c r="F235" s="2" t="s">
        <v>9</v>
      </c>
      <c r="G235" s="3">
        <v>367.23882599153751</v>
      </c>
      <c r="H235" s="1">
        <v>527281</v>
      </c>
    </row>
    <row r="236" spans="1:8" ht="17.25" customHeight="1" x14ac:dyDescent="0.2">
      <c r="A236" s="3">
        <v>0.85</v>
      </c>
      <c r="B236" s="1">
        <v>708</v>
      </c>
      <c r="C236" s="1">
        <v>2</v>
      </c>
      <c r="D236" s="2" t="s">
        <v>10</v>
      </c>
      <c r="E236" s="1">
        <v>36040</v>
      </c>
      <c r="F236" s="2" t="s">
        <v>9</v>
      </c>
      <c r="G236" s="3">
        <v>338.98968553065004</v>
      </c>
      <c r="H236" s="1">
        <v>486721</v>
      </c>
    </row>
    <row r="237" spans="1:8" ht="17.25" customHeight="1" x14ac:dyDescent="0.2">
      <c r="A237" s="3">
        <v>0.8</v>
      </c>
      <c r="B237" s="1">
        <v>708</v>
      </c>
      <c r="C237" s="1">
        <v>2</v>
      </c>
      <c r="D237" s="2" t="s">
        <v>10</v>
      </c>
      <c r="E237" s="1">
        <v>36040</v>
      </c>
      <c r="F237" s="2" t="s">
        <v>9</v>
      </c>
      <c r="G237" s="3">
        <v>338.98968553065004</v>
      </c>
      <c r="H237" s="1">
        <v>486721</v>
      </c>
    </row>
    <row r="238" spans="1:8" ht="17.25" customHeight="1" x14ac:dyDescent="0.2">
      <c r="A238" s="3">
        <v>0.75</v>
      </c>
      <c r="B238" s="1">
        <v>649</v>
      </c>
      <c r="C238" s="1">
        <v>2</v>
      </c>
      <c r="D238" s="2" t="s">
        <v>10</v>
      </c>
      <c r="E238" s="1">
        <v>36040</v>
      </c>
      <c r="F238" s="2" t="s">
        <v>9</v>
      </c>
      <c r="G238" s="3">
        <v>310.7405450697625</v>
      </c>
      <c r="H238" s="1">
        <v>446160</v>
      </c>
    </row>
    <row r="239" spans="1:8" ht="17.25" customHeight="1" x14ac:dyDescent="0.2">
      <c r="A239" s="3">
        <v>0.7</v>
      </c>
      <c r="B239" s="1">
        <v>590</v>
      </c>
      <c r="C239" s="1">
        <v>2</v>
      </c>
      <c r="D239" s="2" t="s">
        <v>10</v>
      </c>
      <c r="E239" s="1">
        <v>36040</v>
      </c>
      <c r="F239" s="2" t="s">
        <v>9</v>
      </c>
      <c r="G239" s="3">
        <v>282.49140460887497</v>
      </c>
      <c r="H239" s="1">
        <v>405600</v>
      </c>
    </row>
    <row r="240" spans="1:8" ht="17.25" customHeight="1" x14ac:dyDescent="0.2">
      <c r="A240" s="3">
        <v>0.65</v>
      </c>
      <c r="B240" s="1">
        <v>531</v>
      </c>
      <c r="C240" s="1">
        <v>2</v>
      </c>
      <c r="D240" s="2" t="s">
        <v>10</v>
      </c>
      <c r="E240" s="1">
        <v>36040</v>
      </c>
      <c r="F240" s="2" t="s">
        <v>9</v>
      </c>
      <c r="G240" s="3">
        <v>254.2422641479875</v>
      </c>
      <c r="H240" s="1">
        <v>365039</v>
      </c>
    </row>
    <row r="241" spans="1:8" ht="17.25" customHeight="1" x14ac:dyDescent="0.2">
      <c r="A241" s="3">
        <v>0.6</v>
      </c>
      <c r="B241" s="1">
        <v>531</v>
      </c>
      <c r="C241" s="1">
        <v>2</v>
      </c>
      <c r="D241" s="2" t="s">
        <v>10</v>
      </c>
      <c r="E241" s="1">
        <v>36040</v>
      </c>
      <c r="F241" s="2" t="s">
        <v>9</v>
      </c>
      <c r="G241" s="3">
        <v>254.2422641479875</v>
      </c>
      <c r="H241" s="1">
        <v>365039</v>
      </c>
    </row>
    <row r="242" spans="1:8" ht="17.25" customHeight="1" x14ac:dyDescent="0.2">
      <c r="A242" s="3">
        <v>0.55000000000000004</v>
      </c>
      <c r="B242" s="1">
        <v>472</v>
      </c>
      <c r="C242" s="1">
        <v>2</v>
      </c>
      <c r="D242" s="2" t="s">
        <v>10</v>
      </c>
      <c r="E242" s="1">
        <v>36040</v>
      </c>
      <c r="F242" s="2" t="s">
        <v>9</v>
      </c>
      <c r="G242" s="3">
        <v>225.99312368709997</v>
      </c>
      <c r="H242" s="1">
        <v>324478</v>
      </c>
    </row>
    <row r="243" spans="1:8" ht="17.25" customHeight="1" x14ac:dyDescent="0.2">
      <c r="A243" s="3">
        <v>0.5</v>
      </c>
      <c r="B243" s="1">
        <v>413</v>
      </c>
      <c r="C243" s="1">
        <v>2</v>
      </c>
      <c r="D243" s="2" t="s">
        <v>10</v>
      </c>
      <c r="E243" s="1">
        <v>36040</v>
      </c>
      <c r="F243" s="2" t="s">
        <v>9</v>
      </c>
      <c r="G243" s="3">
        <v>197.74398322621249</v>
      </c>
      <c r="H243" s="1">
        <v>283917</v>
      </c>
    </row>
    <row r="244" spans="1:8" ht="17.25" customHeight="1" x14ac:dyDescent="0.2">
      <c r="A244" s="3">
        <v>0.45</v>
      </c>
      <c r="B244" s="1">
        <v>354</v>
      </c>
      <c r="C244" s="1">
        <v>2</v>
      </c>
      <c r="D244" s="2" t="s">
        <v>10</v>
      </c>
      <c r="E244" s="1">
        <v>36040</v>
      </c>
      <c r="F244" s="2" t="s">
        <v>9</v>
      </c>
      <c r="G244" s="3">
        <v>169.49484276532502</v>
      </c>
      <c r="H244" s="1">
        <v>243357</v>
      </c>
    </row>
    <row r="245" spans="1:8" ht="17.25" customHeight="1" x14ac:dyDescent="0.2">
      <c r="A245" s="3">
        <v>0.4</v>
      </c>
      <c r="B245" s="1">
        <v>354</v>
      </c>
      <c r="C245" s="1">
        <v>2</v>
      </c>
      <c r="D245" s="2" t="s">
        <v>10</v>
      </c>
      <c r="E245" s="1">
        <v>36040</v>
      </c>
      <c r="F245" s="2" t="s">
        <v>9</v>
      </c>
      <c r="G245" s="3">
        <v>169.49484276532502</v>
      </c>
      <c r="H245" s="1">
        <v>243357</v>
      </c>
    </row>
    <row r="246" spans="1:8" ht="17.25" customHeight="1" x14ac:dyDescent="0.2">
      <c r="A246" s="3">
        <v>0.35</v>
      </c>
      <c r="B246" s="1">
        <v>295</v>
      </c>
      <c r="C246" s="1">
        <v>2</v>
      </c>
      <c r="D246" s="2" t="s">
        <v>10</v>
      </c>
      <c r="E246" s="1">
        <v>36040</v>
      </c>
      <c r="F246" s="2" t="s">
        <v>9</v>
      </c>
      <c r="G246" s="3">
        <v>141.24570230443749</v>
      </c>
      <c r="H246" s="1">
        <v>202810</v>
      </c>
    </row>
    <row r="247" spans="1:8" ht="17.25" customHeight="1" x14ac:dyDescent="0.2">
      <c r="A247" s="3">
        <v>0.3</v>
      </c>
      <c r="B247" s="1">
        <v>236</v>
      </c>
      <c r="C247" s="1">
        <v>2</v>
      </c>
      <c r="D247" s="2" t="s">
        <v>10</v>
      </c>
      <c r="E247" s="1">
        <v>36040</v>
      </c>
      <c r="F247" s="2" t="s">
        <v>9</v>
      </c>
      <c r="G247" s="3">
        <v>112.99656184354998</v>
      </c>
      <c r="H247" s="1">
        <v>162250</v>
      </c>
    </row>
    <row r="248" spans="1:8" ht="17.25" customHeight="1" x14ac:dyDescent="0.2">
      <c r="A248" s="3">
        <v>0.25</v>
      </c>
      <c r="B248" s="1">
        <v>177</v>
      </c>
      <c r="C248" s="1">
        <v>2</v>
      </c>
      <c r="D248" s="2" t="s">
        <v>10</v>
      </c>
      <c r="E248" s="1">
        <v>36040</v>
      </c>
      <c r="F248" s="2" t="s">
        <v>9</v>
      </c>
      <c r="G248" s="3">
        <v>84.747421382662509</v>
      </c>
      <c r="H248" s="1">
        <v>121712</v>
      </c>
    </row>
    <row r="249" spans="1:8" ht="17.25" customHeight="1" x14ac:dyDescent="0.2">
      <c r="A249" s="3">
        <v>0.2</v>
      </c>
      <c r="B249" s="1">
        <v>177</v>
      </c>
      <c r="C249" s="1">
        <v>2</v>
      </c>
      <c r="D249" s="2" t="s">
        <v>10</v>
      </c>
      <c r="E249" s="1">
        <v>36040</v>
      </c>
      <c r="F249" s="2" t="s">
        <v>9</v>
      </c>
      <c r="G249" s="3">
        <v>84.747421382662509</v>
      </c>
      <c r="H249" s="1">
        <v>121712</v>
      </c>
    </row>
    <row r="250" spans="1:8" ht="17.25" customHeight="1" x14ac:dyDescent="0.2">
      <c r="A250" s="3">
        <v>0.15</v>
      </c>
      <c r="B250" s="1">
        <v>118</v>
      </c>
      <c r="C250" s="1">
        <v>2</v>
      </c>
      <c r="D250" s="2" t="s">
        <v>10</v>
      </c>
      <c r="E250" s="1">
        <v>36040</v>
      </c>
      <c r="F250" s="2" t="s">
        <v>9</v>
      </c>
      <c r="G250" s="3">
        <v>56.498280921774992</v>
      </c>
      <c r="H250" s="1">
        <v>81144</v>
      </c>
    </row>
    <row r="251" spans="1:8" ht="17.25" customHeight="1" x14ac:dyDescent="0.2">
      <c r="A251" s="3">
        <v>0.1</v>
      </c>
      <c r="B251" s="1">
        <v>59</v>
      </c>
      <c r="C251" s="1">
        <v>2</v>
      </c>
      <c r="D251" s="2" t="s">
        <v>10</v>
      </c>
      <c r="E251" s="1">
        <v>36040</v>
      </c>
      <c r="F251" s="2" t="s">
        <v>9</v>
      </c>
      <c r="G251" s="3">
        <v>28.249140460887496</v>
      </c>
      <c r="H251" s="1">
        <v>40573</v>
      </c>
    </row>
    <row r="252" spans="1:8" ht="17.25" customHeight="1" x14ac:dyDescent="0.2">
      <c r="A252" s="3">
        <v>0.05</v>
      </c>
      <c r="B252" s="1">
        <v>0</v>
      </c>
      <c r="C252" s="1">
        <v>2</v>
      </c>
      <c r="D252" s="2" t="s">
        <v>10</v>
      </c>
      <c r="E252" s="1">
        <v>36040</v>
      </c>
      <c r="F252" s="2" t="s">
        <v>9</v>
      </c>
      <c r="G252" s="3">
        <v>0</v>
      </c>
      <c r="H252" s="1">
        <v>0</v>
      </c>
    </row>
    <row r="253" spans="1:8" ht="17.25" customHeight="1" x14ac:dyDescent="0.2">
      <c r="A253" s="1">
        <v>0</v>
      </c>
      <c r="B253" s="1">
        <v>0</v>
      </c>
      <c r="C253" s="1">
        <v>2</v>
      </c>
      <c r="D253" s="2" t="s">
        <v>10</v>
      </c>
      <c r="E253" s="1">
        <v>36040</v>
      </c>
      <c r="F253" s="2" t="s">
        <v>9</v>
      </c>
      <c r="G253" s="3">
        <v>0</v>
      </c>
      <c r="H253" s="1">
        <v>0</v>
      </c>
    </row>
    <row r="254" spans="1:8" ht="17.25" customHeight="1" x14ac:dyDescent="0.2">
      <c r="A254" s="1">
        <v>1</v>
      </c>
      <c r="B254" s="1">
        <v>885</v>
      </c>
      <c r="C254" s="1">
        <v>1</v>
      </c>
      <c r="D254" s="2" t="s">
        <v>12</v>
      </c>
      <c r="E254" s="1">
        <v>36525</v>
      </c>
      <c r="F254" s="2" t="s">
        <v>11</v>
      </c>
      <c r="G254" s="3">
        <v>423.73710691331252</v>
      </c>
      <c r="H254" s="1">
        <v>677957</v>
      </c>
    </row>
    <row r="255" spans="1:8" ht="17.25" customHeight="1" x14ac:dyDescent="0.2">
      <c r="A255" s="3">
        <v>0.95</v>
      </c>
      <c r="B255" s="1">
        <v>826</v>
      </c>
      <c r="C255" s="1">
        <v>1</v>
      </c>
      <c r="D255" s="2" t="s">
        <v>12</v>
      </c>
      <c r="E255" s="1">
        <v>36525</v>
      </c>
      <c r="F255" s="2" t="s">
        <v>11</v>
      </c>
      <c r="G255" s="3">
        <v>395.48796645242498</v>
      </c>
      <c r="H255" s="1">
        <v>632760</v>
      </c>
    </row>
    <row r="256" spans="1:8" ht="17.25" customHeight="1" x14ac:dyDescent="0.2">
      <c r="A256" s="3">
        <v>0.9</v>
      </c>
      <c r="B256" s="1">
        <v>767</v>
      </c>
      <c r="C256" s="1">
        <v>1</v>
      </c>
      <c r="D256" s="2" t="s">
        <v>12</v>
      </c>
      <c r="E256" s="1">
        <v>36525</v>
      </c>
      <c r="F256" s="2" t="s">
        <v>11</v>
      </c>
      <c r="G256" s="3">
        <v>367.23882599153751</v>
      </c>
      <c r="H256" s="1">
        <v>587564</v>
      </c>
    </row>
    <row r="257" spans="1:8" ht="17.25" customHeight="1" x14ac:dyDescent="0.2">
      <c r="A257" s="3">
        <v>0.75</v>
      </c>
      <c r="B257" s="1">
        <v>649</v>
      </c>
      <c r="C257" s="1">
        <v>1</v>
      </c>
      <c r="D257" s="2" t="s">
        <v>12</v>
      </c>
      <c r="E257" s="1">
        <v>36525</v>
      </c>
      <c r="F257" s="2" t="s">
        <v>11</v>
      </c>
      <c r="G257" s="3">
        <v>310.7405450697625</v>
      </c>
      <c r="H257" s="1">
        <v>497170</v>
      </c>
    </row>
    <row r="258" spans="1:8" ht="17.25" customHeight="1" x14ac:dyDescent="0.2">
      <c r="A258" s="3">
        <v>0.75</v>
      </c>
      <c r="B258" s="1">
        <v>649</v>
      </c>
      <c r="C258" s="1">
        <v>2</v>
      </c>
      <c r="D258" s="2" t="s">
        <v>12</v>
      </c>
      <c r="E258" s="1">
        <v>36507</v>
      </c>
      <c r="F258" s="2" t="s">
        <v>11</v>
      </c>
      <c r="G258" s="3">
        <v>310.7405450697625</v>
      </c>
      <c r="H258" s="1">
        <v>522776</v>
      </c>
    </row>
    <row r="259" spans="1:8" ht="17.25" customHeight="1" x14ac:dyDescent="0.2">
      <c r="A259" s="3">
        <v>0.8</v>
      </c>
      <c r="B259" s="1">
        <v>708</v>
      </c>
      <c r="C259" s="1">
        <v>1</v>
      </c>
      <c r="D259" s="2" t="s">
        <v>12</v>
      </c>
      <c r="E259" s="1">
        <v>36525</v>
      </c>
      <c r="F259" s="2" t="s">
        <v>11</v>
      </c>
      <c r="G259" s="3">
        <v>338.98968553065004</v>
      </c>
      <c r="H259" s="1">
        <v>542367</v>
      </c>
    </row>
    <row r="260" spans="1:8" ht="17.25" customHeight="1" x14ac:dyDescent="0.2">
      <c r="A260" s="3">
        <v>0.7</v>
      </c>
      <c r="B260" s="1">
        <v>590</v>
      </c>
      <c r="C260" s="1">
        <v>1</v>
      </c>
      <c r="D260" s="2" t="s">
        <v>12</v>
      </c>
      <c r="E260" s="1">
        <v>36525</v>
      </c>
      <c r="F260" s="2" t="s">
        <v>11</v>
      </c>
      <c r="G260" s="3">
        <v>282.49140460887497</v>
      </c>
      <c r="H260" s="1">
        <v>451974</v>
      </c>
    </row>
    <row r="261" spans="1:8" ht="17.25" customHeight="1" x14ac:dyDescent="0.2">
      <c r="A261" s="3">
        <v>0.65</v>
      </c>
      <c r="B261" s="1">
        <v>531</v>
      </c>
      <c r="C261" s="1">
        <v>1</v>
      </c>
      <c r="D261" s="2" t="s">
        <v>12</v>
      </c>
      <c r="E261" s="1">
        <v>36525</v>
      </c>
      <c r="F261" s="2" t="s">
        <v>11</v>
      </c>
      <c r="G261" s="3">
        <v>254.2422641479875</v>
      </c>
      <c r="H261" s="1">
        <v>406776</v>
      </c>
    </row>
    <row r="262" spans="1:8" ht="17.25" customHeight="1" x14ac:dyDescent="0.2">
      <c r="A262" s="3">
        <v>0.6</v>
      </c>
      <c r="B262" s="1">
        <v>531</v>
      </c>
      <c r="C262" s="1">
        <v>1</v>
      </c>
      <c r="D262" s="2" t="s">
        <v>12</v>
      </c>
      <c r="E262" s="1">
        <v>36525</v>
      </c>
      <c r="F262" s="2" t="s">
        <v>11</v>
      </c>
      <c r="G262" s="3">
        <v>254.2422641479875</v>
      </c>
      <c r="H262" s="1">
        <v>406776</v>
      </c>
    </row>
    <row r="263" spans="1:8" ht="17.25" customHeight="1" x14ac:dyDescent="0.2">
      <c r="A263" s="3">
        <v>0.55000000000000004</v>
      </c>
      <c r="B263" s="1">
        <v>472</v>
      </c>
      <c r="C263" s="1">
        <v>1</v>
      </c>
      <c r="D263" s="2" t="s">
        <v>12</v>
      </c>
      <c r="E263" s="1">
        <v>36525</v>
      </c>
      <c r="F263" s="2" t="s">
        <v>11</v>
      </c>
      <c r="G263" s="3">
        <v>225.99312368709997</v>
      </c>
      <c r="H263" s="1">
        <v>361580</v>
      </c>
    </row>
    <row r="264" spans="1:8" ht="17.25" customHeight="1" x14ac:dyDescent="0.2">
      <c r="A264" s="3">
        <v>0.5</v>
      </c>
      <c r="B264" s="1">
        <v>413</v>
      </c>
      <c r="C264" s="1">
        <v>1</v>
      </c>
      <c r="D264" s="2" t="s">
        <v>12</v>
      </c>
      <c r="E264" s="1">
        <v>36525</v>
      </c>
      <c r="F264" s="2" t="s">
        <v>11</v>
      </c>
      <c r="G264" s="3">
        <v>197.74398322621249</v>
      </c>
      <c r="H264" s="1">
        <v>316383</v>
      </c>
    </row>
    <row r="265" spans="1:8" ht="17.25" customHeight="1" x14ac:dyDescent="0.2">
      <c r="A265" s="3">
        <v>0.45</v>
      </c>
      <c r="B265" s="1">
        <v>354</v>
      </c>
      <c r="C265" s="1">
        <v>1</v>
      </c>
      <c r="D265" s="2" t="s">
        <v>12</v>
      </c>
      <c r="E265" s="1">
        <v>36525</v>
      </c>
      <c r="F265" s="2" t="s">
        <v>11</v>
      </c>
      <c r="G265" s="3">
        <v>169.49484276532502</v>
      </c>
      <c r="H265" s="1">
        <v>271186</v>
      </c>
    </row>
    <row r="266" spans="1:8" ht="17.25" customHeight="1" x14ac:dyDescent="0.2">
      <c r="A266" s="3">
        <v>0.4</v>
      </c>
      <c r="B266" s="1">
        <v>354</v>
      </c>
      <c r="C266" s="1">
        <v>1</v>
      </c>
      <c r="D266" s="2" t="s">
        <v>12</v>
      </c>
      <c r="E266" s="1">
        <v>36525</v>
      </c>
      <c r="F266" s="2" t="s">
        <v>11</v>
      </c>
      <c r="G266" s="3">
        <v>169.49484276532502</v>
      </c>
      <c r="H266" s="1">
        <v>271186</v>
      </c>
    </row>
    <row r="267" spans="1:8" ht="17.25" customHeight="1" x14ac:dyDescent="0.2">
      <c r="A267" s="3">
        <v>0.35</v>
      </c>
      <c r="B267" s="1">
        <v>295</v>
      </c>
      <c r="C267" s="1">
        <v>1</v>
      </c>
      <c r="D267" s="2" t="s">
        <v>12</v>
      </c>
      <c r="E267" s="1">
        <v>36525</v>
      </c>
      <c r="F267" s="2" t="s">
        <v>11</v>
      </c>
      <c r="G267" s="3">
        <v>141.24570230443749</v>
      </c>
      <c r="H267" s="1">
        <v>226004</v>
      </c>
    </row>
    <row r="268" spans="1:8" ht="17.25" customHeight="1" x14ac:dyDescent="0.2">
      <c r="A268" s="3">
        <v>0.3</v>
      </c>
      <c r="B268" s="1">
        <v>236</v>
      </c>
      <c r="C268" s="1">
        <v>1</v>
      </c>
      <c r="D268" s="2" t="s">
        <v>12</v>
      </c>
      <c r="E268" s="1">
        <v>36525</v>
      </c>
      <c r="F268" s="2" t="s">
        <v>11</v>
      </c>
      <c r="G268" s="3">
        <v>112.99656184354998</v>
      </c>
      <c r="H268" s="1">
        <v>180806</v>
      </c>
    </row>
    <row r="269" spans="1:8" ht="17.25" customHeight="1" x14ac:dyDescent="0.2">
      <c r="A269" s="3">
        <v>0.25</v>
      </c>
      <c r="B269" s="1">
        <v>177</v>
      </c>
      <c r="C269" s="1">
        <v>1</v>
      </c>
      <c r="D269" s="2" t="s">
        <v>12</v>
      </c>
      <c r="E269" s="1">
        <v>36525</v>
      </c>
      <c r="F269" s="2" t="s">
        <v>11</v>
      </c>
      <c r="G269" s="3">
        <v>84.747421382662509</v>
      </c>
      <c r="H269" s="1">
        <v>135608</v>
      </c>
    </row>
    <row r="270" spans="1:8" ht="17.25" customHeight="1" x14ac:dyDescent="0.2">
      <c r="A270" s="3">
        <v>0.2</v>
      </c>
      <c r="B270" s="1">
        <v>177</v>
      </c>
      <c r="C270" s="1">
        <v>1</v>
      </c>
      <c r="D270" s="2" t="s">
        <v>12</v>
      </c>
      <c r="E270" s="1">
        <v>36525</v>
      </c>
      <c r="F270" s="2" t="s">
        <v>11</v>
      </c>
      <c r="G270" s="3">
        <v>84.747421382662509</v>
      </c>
      <c r="H270" s="1">
        <v>135608</v>
      </c>
    </row>
    <row r="271" spans="1:8" ht="17.25" customHeight="1" x14ac:dyDescent="0.2">
      <c r="A271" s="3">
        <v>0.15</v>
      </c>
      <c r="B271" s="1">
        <v>118</v>
      </c>
      <c r="C271" s="1">
        <v>1</v>
      </c>
      <c r="D271" s="2" t="s">
        <v>12</v>
      </c>
      <c r="E271" s="1">
        <v>36525</v>
      </c>
      <c r="F271" s="2" t="s">
        <v>11</v>
      </c>
      <c r="G271" s="3">
        <v>56.498280921774992</v>
      </c>
      <c r="H271" s="1">
        <v>90409</v>
      </c>
    </row>
    <row r="272" spans="1:8" ht="17.25" customHeight="1" x14ac:dyDescent="0.2">
      <c r="A272" s="3">
        <v>0.1</v>
      </c>
      <c r="B272" s="1">
        <v>59</v>
      </c>
      <c r="C272" s="1">
        <v>1</v>
      </c>
      <c r="D272" s="2" t="s">
        <v>12</v>
      </c>
      <c r="E272" s="1">
        <v>36525</v>
      </c>
      <c r="F272" s="2" t="s">
        <v>11</v>
      </c>
      <c r="G272" s="3">
        <v>28.249140460887496</v>
      </c>
      <c r="H272" s="1">
        <v>45208</v>
      </c>
    </row>
    <row r="273" spans="1:8" ht="17.25" customHeight="1" x14ac:dyDescent="0.2">
      <c r="A273" s="3">
        <v>0.05</v>
      </c>
      <c r="B273" s="1">
        <v>0</v>
      </c>
      <c r="C273" s="1">
        <v>1</v>
      </c>
      <c r="D273" s="2" t="s">
        <v>12</v>
      </c>
      <c r="E273" s="1">
        <v>36525</v>
      </c>
      <c r="F273" s="2" t="s">
        <v>11</v>
      </c>
      <c r="G273" s="3">
        <v>0</v>
      </c>
      <c r="H273" s="1">
        <v>0</v>
      </c>
    </row>
    <row r="274" spans="1:8" ht="17.25" customHeight="1" x14ac:dyDescent="0.2">
      <c r="A274" s="1">
        <v>0</v>
      </c>
      <c r="B274" s="1">
        <v>0</v>
      </c>
      <c r="C274" s="1">
        <v>1</v>
      </c>
      <c r="D274" s="2" t="s">
        <v>12</v>
      </c>
      <c r="E274" s="1">
        <v>36525</v>
      </c>
      <c r="F274" s="2" t="s">
        <v>11</v>
      </c>
      <c r="G274" s="3">
        <v>0</v>
      </c>
      <c r="H274" s="1">
        <v>0</v>
      </c>
    </row>
    <row r="275" spans="1:8" ht="17.25" customHeight="1" x14ac:dyDescent="0.2">
      <c r="A275" s="1">
        <v>1</v>
      </c>
      <c r="B275" s="1">
        <v>885</v>
      </c>
      <c r="C275" s="1">
        <v>1</v>
      </c>
      <c r="D275" s="2" t="s">
        <v>12</v>
      </c>
      <c r="E275" s="1">
        <v>36525</v>
      </c>
      <c r="F275" s="2" t="s">
        <v>9</v>
      </c>
      <c r="G275" s="3">
        <v>423.73710691331252</v>
      </c>
      <c r="H275" s="1">
        <v>584099</v>
      </c>
    </row>
    <row r="276" spans="1:8" ht="17.25" customHeight="1" x14ac:dyDescent="0.2">
      <c r="A276" s="3">
        <v>0.95</v>
      </c>
      <c r="B276" s="1">
        <v>826</v>
      </c>
      <c r="C276" s="1">
        <v>1</v>
      </c>
      <c r="D276" s="2" t="s">
        <v>12</v>
      </c>
      <c r="E276" s="1">
        <v>36525</v>
      </c>
      <c r="F276" s="2" t="s">
        <v>9</v>
      </c>
      <c r="G276" s="3">
        <v>395.48796645242498</v>
      </c>
      <c r="H276" s="1">
        <v>545158</v>
      </c>
    </row>
    <row r="277" spans="1:8" ht="17.25" customHeight="1" x14ac:dyDescent="0.2">
      <c r="A277" s="3">
        <v>0.9</v>
      </c>
      <c r="B277" s="1">
        <v>767</v>
      </c>
      <c r="C277" s="1">
        <v>1</v>
      </c>
      <c r="D277" s="2" t="s">
        <v>12</v>
      </c>
      <c r="E277" s="1">
        <v>36525</v>
      </c>
      <c r="F277" s="2" t="s">
        <v>9</v>
      </c>
      <c r="G277" s="3">
        <v>367.23882599153751</v>
      </c>
      <c r="H277" s="1">
        <v>506218</v>
      </c>
    </row>
    <row r="278" spans="1:8" ht="17.25" customHeight="1" x14ac:dyDescent="0.2">
      <c r="A278" s="3">
        <v>0.85</v>
      </c>
      <c r="B278" s="1">
        <v>708</v>
      </c>
      <c r="C278" s="1">
        <v>1</v>
      </c>
      <c r="D278" s="2" t="s">
        <v>12</v>
      </c>
      <c r="E278" s="1">
        <v>36525</v>
      </c>
      <c r="F278" s="2" t="s">
        <v>9</v>
      </c>
      <c r="G278" s="3">
        <v>338.98968553065004</v>
      </c>
      <c r="H278" s="1">
        <v>467278</v>
      </c>
    </row>
    <row r="279" spans="1:8" ht="17.25" customHeight="1" x14ac:dyDescent="0.2">
      <c r="A279" s="3">
        <v>0.8</v>
      </c>
      <c r="B279" s="1">
        <v>708</v>
      </c>
      <c r="C279" s="1">
        <v>1</v>
      </c>
      <c r="D279" s="2" t="s">
        <v>12</v>
      </c>
      <c r="E279" s="1">
        <v>36525</v>
      </c>
      <c r="F279" s="2" t="s">
        <v>9</v>
      </c>
      <c r="G279" s="3">
        <v>338.98968553065004</v>
      </c>
      <c r="H279" s="1">
        <v>467278</v>
      </c>
    </row>
    <row r="280" spans="1:8" ht="17.25" customHeight="1" x14ac:dyDescent="0.2">
      <c r="A280" s="3">
        <v>0.75</v>
      </c>
      <c r="B280" s="1">
        <v>649</v>
      </c>
      <c r="C280" s="1">
        <v>1</v>
      </c>
      <c r="D280" s="2" t="s">
        <v>12</v>
      </c>
      <c r="E280" s="1">
        <v>36525</v>
      </c>
      <c r="F280" s="2" t="s">
        <v>9</v>
      </c>
      <c r="G280" s="3">
        <v>310.7405450697625</v>
      </c>
      <c r="H280" s="1">
        <v>428338</v>
      </c>
    </row>
    <row r="281" spans="1:8" ht="17.25" customHeight="1" x14ac:dyDescent="0.2">
      <c r="A281" s="3">
        <v>0.7</v>
      </c>
      <c r="B281" s="1">
        <v>590</v>
      </c>
      <c r="C281" s="1">
        <v>1</v>
      </c>
      <c r="D281" s="2" t="s">
        <v>12</v>
      </c>
      <c r="E281" s="1">
        <v>36525</v>
      </c>
      <c r="F281" s="2" t="s">
        <v>9</v>
      </c>
      <c r="G281" s="3">
        <v>282.49140460887497</v>
      </c>
      <c r="H281" s="1">
        <v>389397</v>
      </c>
    </row>
    <row r="282" spans="1:8" ht="17.25" customHeight="1" x14ac:dyDescent="0.2">
      <c r="A282" s="3">
        <v>0.65</v>
      </c>
      <c r="B282" s="1">
        <v>531</v>
      </c>
      <c r="C282" s="1">
        <v>1</v>
      </c>
      <c r="D282" s="2" t="s">
        <v>12</v>
      </c>
      <c r="E282" s="1">
        <v>36525</v>
      </c>
      <c r="F282" s="2" t="s">
        <v>9</v>
      </c>
      <c r="G282" s="3">
        <v>254.2422641479875</v>
      </c>
      <c r="H282" s="1">
        <v>350457</v>
      </c>
    </row>
    <row r="283" spans="1:8" ht="17.25" customHeight="1" x14ac:dyDescent="0.2">
      <c r="A283" s="3">
        <v>0.6</v>
      </c>
      <c r="B283" s="1">
        <v>531</v>
      </c>
      <c r="C283" s="1">
        <v>1</v>
      </c>
      <c r="D283" s="2" t="s">
        <v>12</v>
      </c>
      <c r="E283" s="1">
        <v>36525</v>
      </c>
      <c r="F283" s="2" t="s">
        <v>9</v>
      </c>
      <c r="G283" s="3">
        <v>254.2422641479875</v>
      </c>
      <c r="H283" s="1">
        <v>350457</v>
      </c>
    </row>
    <row r="284" spans="1:8" ht="17.25" customHeight="1" x14ac:dyDescent="0.2">
      <c r="A284" s="3">
        <v>0.55000000000000004</v>
      </c>
      <c r="B284" s="1">
        <v>472</v>
      </c>
      <c r="C284" s="1">
        <v>1</v>
      </c>
      <c r="D284" s="2" t="s">
        <v>12</v>
      </c>
      <c r="E284" s="1">
        <v>36525</v>
      </c>
      <c r="F284" s="2" t="s">
        <v>9</v>
      </c>
      <c r="G284" s="3">
        <v>225.99312368709997</v>
      </c>
      <c r="H284" s="1">
        <v>311516</v>
      </c>
    </row>
    <row r="285" spans="1:8" ht="17.25" customHeight="1" x14ac:dyDescent="0.2">
      <c r="A285" s="3">
        <v>0.5</v>
      </c>
      <c r="B285" s="1">
        <v>413</v>
      </c>
      <c r="C285" s="1">
        <v>1</v>
      </c>
      <c r="D285" s="2" t="s">
        <v>12</v>
      </c>
      <c r="E285" s="1">
        <v>36525</v>
      </c>
      <c r="F285" s="2" t="s">
        <v>9</v>
      </c>
      <c r="G285" s="3">
        <v>197.74398322621249</v>
      </c>
      <c r="H285" s="1">
        <v>272576</v>
      </c>
    </row>
    <row r="286" spans="1:8" ht="17.25" customHeight="1" x14ac:dyDescent="0.2">
      <c r="A286" s="3">
        <v>0.45</v>
      </c>
      <c r="B286" s="1">
        <v>354</v>
      </c>
      <c r="C286" s="1">
        <v>1</v>
      </c>
      <c r="D286" s="2" t="s">
        <v>12</v>
      </c>
      <c r="E286" s="1">
        <v>36525</v>
      </c>
      <c r="F286" s="2" t="s">
        <v>9</v>
      </c>
      <c r="G286" s="3">
        <v>169.49484276532502</v>
      </c>
      <c r="H286" s="1">
        <v>233636</v>
      </c>
    </row>
    <row r="287" spans="1:8" ht="17.25" customHeight="1" x14ac:dyDescent="0.2">
      <c r="A287" s="3">
        <v>0.4</v>
      </c>
      <c r="B287" s="1">
        <v>354</v>
      </c>
      <c r="C287" s="1">
        <v>1</v>
      </c>
      <c r="D287" s="2" t="s">
        <v>12</v>
      </c>
      <c r="E287" s="1">
        <v>36525</v>
      </c>
      <c r="F287" s="2" t="s">
        <v>9</v>
      </c>
      <c r="G287" s="3">
        <v>169.49484276532502</v>
      </c>
      <c r="H287" s="1">
        <v>233636</v>
      </c>
    </row>
    <row r="288" spans="1:8" ht="17.25" customHeight="1" x14ac:dyDescent="0.2">
      <c r="A288" s="3">
        <v>0.35</v>
      </c>
      <c r="B288" s="1">
        <v>295</v>
      </c>
      <c r="C288" s="1">
        <v>1</v>
      </c>
      <c r="D288" s="2" t="s">
        <v>12</v>
      </c>
      <c r="E288" s="1">
        <v>36525</v>
      </c>
      <c r="F288" s="2" t="s">
        <v>9</v>
      </c>
      <c r="G288" s="3">
        <v>141.24570230443749</v>
      </c>
      <c r="H288" s="1">
        <v>194708</v>
      </c>
    </row>
    <row r="289" spans="1:8" ht="17.25" customHeight="1" x14ac:dyDescent="0.2">
      <c r="A289" s="3">
        <v>0.3</v>
      </c>
      <c r="B289" s="1">
        <v>236</v>
      </c>
      <c r="C289" s="1">
        <v>1</v>
      </c>
      <c r="D289" s="2" t="s">
        <v>12</v>
      </c>
      <c r="E289" s="1">
        <v>36525</v>
      </c>
      <c r="F289" s="2" t="s">
        <v>9</v>
      </c>
      <c r="G289" s="3">
        <v>112.99656184354998</v>
      </c>
      <c r="H289" s="1">
        <v>155768</v>
      </c>
    </row>
    <row r="290" spans="1:8" ht="17.25" customHeight="1" x14ac:dyDescent="0.2">
      <c r="A290" s="3">
        <v>0.25</v>
      </c>
      <c r="B290" s="1">
        <v>177</v>
      </c>
      <c r="C290" s="1">
        <v>1</v>
      </c>
      <c r="D290" s="2" t="s">
        <v>12</v>
      </c>
      <c r="E290" s="1">
        <v>36525</v>
      </c>
      <c r="F290" s="2" t="s">
        <v>9</v>
      </c>
      <c r="G290" s="3">
        <v>84.747421382662509</v>
      </c>
      <c r="H290" s="1">
        <v>116844</v>
      </c>
    </row>
    <row r="291" spans="1:8" ht="17.25" customHeight="1" x14ac:dyDescent="0.2">
      <c r="A291" s="3">
        <v>0.2</v>
      </c>
      <c r="B291" s="1">
        <v>177</v>
      </c>
      <c r="C291" s="1">
        <v>1</v>
      </c>
      <c r="D291" s="2" t="s">
        <v>12</v>
      </c>
      <c r="E291" s="1">
        <v>36525</v>
      </c>
      <c r="F291" s="2" t="s">
        <v>9</v>
      </c>
      <c r="G291" s="3">
        <v>84.747421382662509</v>
      </c>
      <c r="H291" s="1">
        <v>116844</v>
      </c>
    </row>
    <row r="292" spans="1:8" ht="17.25" customHeight="1" x14ac:dyDescent="0.2">
      <c r="A292" s="3">
        <v>0.15</v>
      </c>
      <c r="B292" s="1">
        <v>118</v>
      </c>
      <c r="C292" s="1">
        <v>1</v>
      </c>
      <c r="D292" s="2" t="s">
        <v>12</v>
      </c>
      <c r="E292" s="1">
        <v>36525</v>
      </c>
      <c r="F292" s="2" t="s">
        <v>9</v>
      </c>
      <c r="G292" s="3">
        <v>56.498280921774992</v>
      </c>
      <c r="H292" s="1">
        <v>77898</v>
      </c>
    </row>
    <row r="293" spans="1:8" ht="17.25" customHeight="1" x14ac:dyDescent="0.2">
      <c r="A293" s="3">
        <v>0.1</v>
      </c>
      <c r="B293" s="1">
        <v>59</v>
      </c>
      <c r="C293" s="1">
        <v>1</v>
      </c>
      <c r="D293" s="2" t="s">
        <v>12</v>
      </c>
      <c r="E293" s="1">
        <v>36525</v>
      </c>
      <c r="F293" s="2" t="s">
        <v>9</v>
      </c>
      <c r="G293" s="3">
        <v>28.249140460887496</v>
      </c>
      <c r="H293" s="1">
        <v>38950</v>
      </c>
    </row>
    <row r="294" spans="1:8" ht="17.25" customHeight="1" x14ac:dyDescent="0.2">
      <c r="A294" s="3">
        <v>0.05</v>
      </c>
      <c r="B294" s="1">
        <v>0</v>
      </c>
      <c r="C294" s="1">
        <v>1</v>
      </c>
      <c r="D294" s="2" t="s">
        <v>12</v>
      </c>
      <c r="E294" s="1">
        <v>36525</v>
      </c>
      <c r="F294" s="2" t="s">
        <v>9</v>
      </c>
      <c r="G294" s="3">
        <v>0</v>
      </c>
      <c r="H294" s="1">
        <v>0</v>
      </c>
    </row>
    <row r="295" spans="1:8" ht="17.25" customHeight="1" x14ac:dyDescent="0.2">
      <c r="A295" s="1">
        <v>0</v>
      </c>
      <c r="B295" s="1">
        <v>0</v>
      </c>
      <c r="C295" s="1">
        <v>1</v>
      </c>
      <c r="D295" s="2" t="s">
        <v>12</v>
      </c>
      <c r="E295" s="1">
        <v>36525</v>
      </c>
      <c r="F295" s="2" t="s">
        <v>9</v>
      </c>
      <c r="G295" s="3">
        <v>0</v>
      </c>
      <c r="H295" s="1">
        <v>0</v>
      </c>
    </row>
    <row r="296" spans="1:8" ht="17.25" customHeight="1" x14ac:dyDescent="0.2">
      <c r="A296" s="1">
        <v>1</v>
      </c>
      <c r="B296" s="1">
        <v>885</v>
      </c>
      <c r="C296" s="1">
        <v>2</v>
      </c>
      <c r="D296" s="2" t="s">
        <v>12</v>
      </c>
      <c r="E296" s="1">
        <v>36507</v>
      </c>
      <c r="F296" s="2" t="s">
        <v>11</v>
      </c>
      <c r="G296" s="3">
        <v>423.73710691331252</v>
      </c>
      <c r="H296" s="1">
        <v>712873</v>
      </c>
    </row>
    <row r="297" spans="1:8" ht="17.25" customHeight="1" x14ac:dyDescent="0.2">
      <c r="A297" s="3">
        <v>0.95</v>
      </c>
      <c r="B297" s="1">
        <v>826</v>
      </c>
      <c r="C297" s="1">
        <v>2</v>
      </c>
      <c r="D297" s="2" t="s">
        <v>12</v>
      </c>
      <c r="E297" s="1">
        <v>36507</v>
      </c>
      <c r="F297" s="2" t="s">
        <v>11</v>
      </c>
      <c r="G297" s="3">
        <v>395.48796645242498</v>
      </c>
      <c r="H297" s="1">
        <v>665349</v>
      </c>
    </row>
    <row r="298" spans="1:8" ht="17.25" customHeight="1" x14ac:dyDescent="0.2">
      <c r="A298" s="3">
        <v>0.9</v>
      </c>
      <c r="B298" s="1">
        <v>767</v>
      </c>
      <c r="C298" s="1">
        <v>2</v>
      </c>
      <c r="D298" s="2" t="s">
        <v>12</v>
      </c>
      <c r="E298" s="1">
        <v>36507</v>
      </c>
      <c r="F298" s="2" t="s">
        <v>11</v>
      </c>
      <c r="G298" s="3">
        <v>367.23882599153751</v>
      </c>
      <c r="H298" s="1">
        <v>617826</v>
      </c>
    </row>
    <row r="299" spans="1:8" ht="17.25" customHeight="1" x14ac:dyDescent="0.2">
      <c r="A299" s="3">
        <v>0.8</v>
      </c>
      <c r="B299" s="1">
        <v>708</v>
      </c>
      <c r="C299" s="1">
        <v>2</v>
      </c>
      <c r="D299" s="2" t="s">
        <v>12</v>
      </c>
      <c r="E299" s="1">
        <v>36507</v>
      </c>
      <c r="F299" s="2" t="s">
        <v>11</v>
      </c>
      <c r="G299" s="3">
        <v>338.98968553065004</v>
      </c>
      <c r="H299" s="1">
        <v>570301</v>
      </c>
    </row>
    <row r="300" spans="1:8" ht="17.25" customHeight="1" x14ac:dyDescent="0.2">
      <c r="A300" s="3">
        <v>0.85</v>
      </c>
      <c r="B300" s="1">
        <v>708</v>
      </c>
      <c r="C300" s="1">
        <v>1</v>
      </c>
      <c r="D300" s="2" t="s">
        <v>12</v>
      </c>
      <c r="E300" s="1">
        <v>36525</v>
      </c>
      <c r="F300" s="2" t="s">
        <v>11</v>
      </c>
      <c r="G300" s="3">
        <v>338.98968553065004</v>
      </c>
      <c r="H300" s="1">
        <v>542367</v>
      </c>
    </row>
    <row r="301" spans="1:8" ht="17.25" customHeight="1" x14ac:dyDescent="0.2">
      <c r="A301" s="3">
        <v>0.85</v>
      </c>
      <c r="B301" s="1">
        <v>708</v>
      </c>
      <c r="C301" s="1">
        <v>2</v>
      </c>
      <c r="D301" s="2" t="s">
        <v>12</v>
      </c>
      <c r="E301" s="1">
        <v>36507</v>
      </c>
      <c r="F301" s="2" t="s">
        <v>11</v>
      </c>
      <c r="G301" s="3">
        <v>338.98968553065004</v>
      </c>
      <c r="H301" s="1">
        <v>570301</v>
      </c>
    </row>
    <row r="302" spans="1:8" ht="17.25" customHeight="1" x14ac:dyDescent="0.2">
      <c r="A302" s="3">
        <v>0.7</v>
      </c>
      <c r="B302" s="1">
        <v>590</v>
      </c>
      <c r="C302" s="1">
        <v>2</v>
      </c>
      <c r="D302" s="2" t="s">
        <v>12</v>
      </c>
      <c r="E302" s="1">
        <v>36507</v>
      </c>
      <c r="F302" s="2" t="s">
        <v>11</v>
      </c>
      <c r="G302" s="3">
        <v>282.49140460887497</v>
      </c>
      <c r="H302" s="1">
        <v>475253</v>
      </c>
    </row>
    <row r="303" spans="1:8" ht="17.25" customHeight="1" x14ac:dyDescent="0.2">
      <c r="A303" s="3">
        <v>0.65</v>
      </c>
      <c r="B303" s="1">
        <v>531</v>
      </c>
      <c r="C303" s="1">
        <v>2</v>
      </c>
      <c r="D303" s="2" t="s">
        <v>12</v>
      </c>
      <c r="E303" s="1">
        <v>36507</v>
      </c>
      <c r="F303" s="2" t="s">
        <v>11</v>
      </c>
      <c r="G303" s="3">
        <v>254.2422641479875</v>
      </c>
      <c r="H303" s="1">
        <v>427727</v>
      </c>
    </row>
    <row r="304" spans="1:8" ht="17.25" customHeight="1" x14ac:dyDescent="0.2">
      <c r="A304" s="3">
        <v>0.6</v>
      </c>
      <c r="B304" s="1">
        <v>531</v>
      </c>
      <c r="C304" s="1">
        <v>2</v>
      </c>
      <c r="D304" s="2" t="s">
        <v>12</v>
      </c>
      <c r="E304" s="1">
        <v>36507</v>
      </c>
      <c r="F304" s="2" t="s">
        <v>11</v>
      </c>
      <c r="G304" s="3">
        <v>254.2422641479875</v>
      </c>
      <c r="H304" s="1">
        <v>427727</v>
      </c>
    </row>
    <row r="305" spans="1:8" ht="17.25" customHeight="1" x14ac:dyDescent="0.2">
      <c r="A305" s="3">
        <v>0.55000000000000004</v>
      </c>
      <c r="B305" s="1">
        <v>472</v>
      </c>
      <c r="C305" s="1">
        <v>2</v>
      </c>
      <c r="D305" s="2" t="s">
        <v>12</v>
      </c>
      <c r="E305" s="1">
        <v>36507</v>
      </c>
      <c r="F305" s="2" t="s">
        <v>11</v>
      </c>
      <c r="G305" s="3">
        <v>225.99312368709997</v>
      </c>
      <c r="H305" s="1">
        <v>380203</v>
      </c>
    </row>
    <row r="306" spans="1:8" ht="17.25" customHeight="1" x14ac:dyDescent="0.2">
      <c r="A306" s="3">
        <v>0.5</v>
      </c>
      <c r="B306" s="1">
        <v>413</v>
      </c>
      <c r="C306" s="1">
        <v>2</v>
      </c>
      <c r="D306" s="2" t="s">
        <v>12</v>
      </c>
      <c r="E306" s="1">
        <v>36507</v>
      </c>
      <c r="F306" s="2" t="s">
        <v>11</v>
      </c>
      <c r="G306" s="3">
        <v>197.74398322621249</v>
      </c>
      <c r="H306" s="1">
        <v>332678</v>
      </c>
    </row>
    <row r="307" spans="1:8" ht="17.25" customHeight="1" x14ac:dyDescent="0.2">
      <c r="A307" s="3">
        <v>0.45</v>
      </c>
      <c r="B307" s="1">
        <v>354</v>
      </c>
      <c r="C307" s="1">
        <v>2</v>
      </c>
      <c r="D307" s="2" t="s">
        <v>12</v>
      </c>
      <c r="E307" s="1">
        <v>36507</v>
      </c>
      <c r="F307" s="2" t="s">
        <v>11</v>
      </c>
      <c r="G307" s="3">
        <v>169.49484276532502</v>
      </c>
      <c r="H307" s="1">
        <v>285154</v>
      </c>
    </row>
    <row r="308" spans="1:8" ht="17.25" customHeight="1" x14ac:dyDescent="0.2">
      <c r="A308" s="3">
        <v>0.4</v>
      </c>
      <c r="B308" s="1">
        <v>354</v>
      </c>
      <c r="C308" s="1">
        <v>2</v>
      </c>
      <c r="D308" s="2" t="s">
        <v>12</v>
      </c>
      <c r="E308" s="1">
        <v>36507</v>
      </c>
      <c r="F308" s="2" t="s">
        <v>11</v>
      </c>
      <c r="G308" s="3">
        <v>169.49484276532502</v>
      </c>
      <c r="H308" s="1">
        <v>285154</v>
      </c>
    </row>
    <row r="309" spans="1:8" ht="17.25" customHeight="1" x14ac:dyDescent="0.2">
      <c r="A309" s="3">
        <v>0.35</v>
      </c>
      <c r="B309" s="1">
        <v>295</v>
      </c>
      <c r="C309" s="1">
        <v>2</v>
      </c>
      <c r="D309" s="2" t="s">
        <v>12</v>
      </c>
      <c r="E309" s="1">
        <v>36507</v>
      </c>
      <c r="F309" s="2" t="s">
        <v>11</v>
      </c>
      <c r="G309" s="3">
        <v>141.24570230443749</v>
      </c>
      <c r="H309" s="1">
        <v>237645</v>
      </c>
    </row>
    <row r="310" spans="1:8" ht="17.25" customHeight="1" x14ac:dyDescent="0.2">
      <c r="A310" s="3">
        <v>0.3</v>
      </c>
      <c r="B310" s="1">
        <v>236</v>
      </c>
      <c r="C310" s="1">
        <v>2</v>
      </c>
      <c r="D310" s="2" t="s">
        <v>12</v>
      </c>
      <c r="E310" s="1">
        <v>36507</v>
      </c>
      <c r="F310" s="2" t="s">
        <v>11</v>
      </c>
      <c r="G310" s="3">
        <v>112.99656184354998</v>
      </c>
      <c r="H310" s="1">
        <v>190119</v>
      </c>
    </row>
    <row r="311" spans="1:8" ht="17.25" customHeight="1" x14ac:dyDescent="0.2">
      <c r="A311" s="3">
        <v>0.25</v>
      </c>
      <c r="B311" s="1">
        <v>177</v>
      </c>
      <c r="C311" s="1">
        <v>2</v>
      </c>
      <c r="D311" s="2" t="s">
        <v>12</v>
      </c>
      <c r="E311" s="1">
        <v>36507</v>
      </c>
      <c r="F311" s="2" t="s">
        <v>11</v>
      </c>
      <c r="G311" s="3">
        <v>84.747421382662509</v>
      </c>
      <c r="H311" s="1">
        <v>142593</v>
      </c>
    </row>
    <row r="312" spans="1:8" ht="17.25" customHeight="1" x14ac:dyDescent="0.2">
      <c r="A312" s="3">
        <v>0.2</v>
      </c>
      <c r="B312" s="1">
        <v>177</v>
      </c>
      <c r="C312" s="1">
        <v>2</v>
      </c>
      <c r="D312" s="2" t="s">
        <v>12</v>
      </c>
      <c r="E312" s="1">
        <v>36507</v>
      </c>
      <c r="F312" s="2" t="s">
        <v>11</v>
      </c>
      <c r="G312" s="3">
        <v>84.747421382662509</v>
      </c>
      <c r="H312" s="1">
        <v>142593</v>
      </c>
    </row>
    <row r="313" spans="1:8" ht="17.25" customHeight="1" x14ac:dyDescent="0.2">
      <c r="A313" s="3">
        <v>0.15</v>
      </c>
      <c r="B313" s="1">
        <v>118</v>
      </c>
      <c r="C313" s="1">
        <v>2</v>
      </c>
      <c r="D313" s="2" t="s">
        <v>12</v>
      </c>
      <c r="E313" s="1">
        <v>36507</v>
      </c>
      <c r="F313" s="2" t="s">
        <v>11</v>
      </c>
      <c r="G313" s="3">
        <v>56.498280921774992</v>
      </c>
      <c r="H313" s="1">
        <v>95066</v>
      </c>
    </row>
    <row r="314" spans="1:8" ht="17.25" customHeight="1" x14ac:dyDescent="0.2">
      <c r="A314" s="3">
        <v>0.1</v>
      </c>
      <c r="B314" s="1">
        <v>59</v>
      </c>
      <c r="C314" s="1">
        <v>2</v>
      </c>
      <c r="D314" s="2" t="s">
        <v>12</v>
      </c>
      <c r="E314" s="1">
        <v>36507</v>
      </c>
      <c r="F314" s="2" t="s">
        <v>11</v>
      </c>
      <c r="G314" s="3">
        <v>28.249140460887496</v>
      </c>
      <c r="H314" s="1">
        <v>47537</v>
      </c>
    </row>
    <row r="315" spans="1:8" ht="17.25" customHeight="1" x14ac:dyDescent="0.2">
      <c r="A315" s="3">
        <v>0.05</v>
      </c>
      <c r="B315" s="1">
        <v>0</v>
      </c>
      <c r="C315" s="1">
        <v>2</v>
      </c>
      <c r="D315" s="2" t="s">
        <v>12</v>
      </c>
      <c r="E315" s="1">
        <v>36507</v>
      </c>
      <c r="F315" s="2" t="s">
        <v>11</v>
      </c>
      <c r="G315" s="3">
        <v>0</v>
      </c>
      <c r="H315" s="1">
        <v>0</v>
      </c>
    </row>
    <row r="316" spans="1:8" ht="17.25" customHeight="1" x14ac:dyDescent="0.2">
      <c r="A316" s="1">
        <v>0</v>
      </c>
      <c r="B316" s="1">
        <v>0</v>
      </c>
      <c r="C316" s="1">
        <v>2</v>
      </c>
      <c r="D316" s="2" t="s">
        <v>12</v>
      </c>
      <c r="E316" s="1">
        <v>36507</v>
      </c>
      <c r="F316" s="2" t="s">
        <v>11</v>
      </c>
      <c r="G316" s="3">
        <v>0</v>
      </c>
      <c r="H316" s="1">
        <v>0</v>
      </c>
    </row>
    <row r="317" spans="1:8" ht="17.25" customHeight="1" x14ac:dyDescent="0.2">
      <c r="A317" s="1">
        <v>1</v>
      </c>
      <c r="B317" s="1">
        <v>885</v>
      </c>
      <c r="C317" s="1">
        <v>2</v>
      </c>
      <c r="D317" s="2" t="s">
        <v>12</v>
      </c>
      <c r="E317" s="1">
        <v>36507</v>
      </c>
      <c r="F317" s="2" t="s">
        <v>9</v>
      </c>
      <c r="G317" s="3">
        <v>423.73710691331252</v>
      </c>
      <c r="H317" s="1">
        <v>613342</v>
      </c>
    </row>
    <row r="318" spans="1:8" ht="17.25" customHeight="1" x14ac:dyDescent="0.2">
      <c r="A318" s="3">
        <v>0.95</v>
      </c>
      <c r="B318" s="1">
        <v>826</v>
      </c>
      <c r="C318" s="1">
        <v>2</v>
      </c>
      <c r="D318" s="2" t="s">
        <v>12</v>
      </c>
      <c r="E318" s="1">
        <v>36507</v>
      </c>
      <c r="F318" s="2" t="s">
        <v>9</v>
      </c>
      <c r="G318" s="3">
        <v>395.48796645242498</v>
      </c>
      <c r="H318" s="1">
        <v>572452</v>
      </c>
    </row>
    <row r="319" spans="1:8" ht="17.25" customHeight="1" x14ac:dyDescent="0.2">
      <c r="A319" s="3">
        <v>0.9</v>
      </c>
      <c r="B319" s="1">
        <v>767</v>
      </c>
      <c r="C319" s="1">
        <v>2</v>
      </c>
      <c r="D319" s="2" t="s">
        <v>12</v>
      </c>
      <c r="E319" s="1">
        <v>36507</v>
      </c>
      <c r="F319" s="2" t="s">
        <v>9</v>
      </c>
      <c r="G319" s="3">
        <v>367.23882599153751</v>
      </c>
      <c r="H319" s="1">
        <v>531563</v>
      </c>
    </row>
    <row r="320" spans="1:8" ht="17.25" customHeight="1" x14ac:dyDescent="0.2">
      <c r="A320" s="3">
        <v>0.85</v>
      </c>
      <c r="B320" s="1">
        <v>708</v>
      </c>
      <c r="C320" s="1">
        <v>2</v>
      </c>
      <c r="D320" s="2" t="s">
        <v>12</v>
      </c>
      <c r="E320" s="1">
        <v>36507</v>
      </c>
      <c r="F320" s="2" t="s">
        <v>9</v>
      </c>
      <c r="G320" s="3">
        <v>338.98968553065004</v>
      </c>
      <c r="H320" s="1">
        <v>490673</v>
      </c>
    </row>
    <row r="321" spans="1:8" ht="17.25" customHeight="1" x14ac:dyDescent="0.2">
      <c r="A321" s="3">
        <v>0.8</v>
      </c>
      <c r="B321" s="1">
        <v>708</v>
      </c>
      <c r="C321" s="1">
        <v>2</v>
      </c>
      <c r="D321" s="2" t="s">
        <v>12</v>
      </c>
      <c r="E321" s="1">
        <v>36507</v>
      </c>
      <c r="F321" s="2" t="s">
        <v>9</v>
      </c>
      <c r="G321" s="3">
        <v>338.98968553065004</v>
      </c>
      <c r="H321" s="1">
        <v>490673</v>
      </c>
    </row>
    <row r="322" spans="1:8" ht="17.25" customHeight="1" x14ac:dyDescent="0.2">
      <c r="A322" s="3">
        <v>0.75</v>
      </c>
      <c r="B322" s="1">
        <v>649</v>
      </c>
      <c r="C322" s="1">
        <v>2</v>
      </c>
      <c r="D322" s="2" t="s">
        <v>12</v>
      </c>
      <c r="E322" s="1">
        <v>36507</v>
      </c>
      <c r="F322" s="2" t="s">
        <v>9</v>
      </c>
      <c r="G322" s="3">
        <v>310.7405450697625</v>
      </c>
      <c r="H322" s="1">
        <v>449783</v>
      </c>
    </row>
    <row r="323" spans="1:8" ht="17.25" customHeight="1" x14ac:dyDescent="0.2">
      <c r="A323" s="3">
        <v>0.7</v>
      </c>
      <c r="B323" s="1">
        <v>590</v>
      </c>
      <c r="C323" s="1">
        <v>2</v>
      </c>
      <c r="D323" s="2" t="s">
        <v>12</v>
      </c>
      <c r="E323" s="1">
        <v>36507</v>
      </c>
      <c r="F323" s="2" t="s">
        <v>9</v>
      </c>
      <c r="G323" s="3">
        <v>282.49140460887497</v>
      </c>
      <c r="H323" s="1">
        <v>408893</v>
      </c>
    </row>
    <row r="324" spans="1:8" ht="17.25" customHeight="1" x14ac:dyDescent="0.2">
      <c r="A324" s="3">
        <v>0.65</v>
      </c>
      <c r="B324" s="1">
        <v>531</v>
      </c>
      <c r="C324" s="1">
        <v>2</v>
      </c>
      <c r="D324" s="2" t="s">
        <v>12</v>
      </c>
      <c r="E324" s="1">
        <v>36507</v>
      </c>
      <c r="F324" s="2" t="s">
        <v>9</v>
      </c>
      <c r="G324" s="3">
        <v>254.2422641479875</v>
      </c>
      <c r="H324" s="1">
        <v>368003</v>
      </c>
    </row>
    <row r="325" spans="1:8" ht="17.25" customHeight="1" x14ac:dyDescent="0.2">
      <c r="A325" s="3">
        <v>0.6</v>
      </c>
      <c r="B325" s="1">
        <v>531</v>
      </c>
      <c r="C325" s="1">
        <v>2</v>
      </c>
      <c r="D325" s="2" t="s">
        <v>12</v>
      </c>
      <c r="E325" s="1">
        <v>36507</v>
      </c>
      <c r="F325" s="2" t="s">
        <v>9</v>
      </c>
      <c r="G325" s="3">
        <v>254.2422641479875</v>
      </c>
      <c r="H325" s="1">
        <v>368003</v>
      </c>
    </row>
    <row r="326" spans="1:8" ht="17.25" customHeight="1" x14ac:dyDescent="0.2">
      <c r="A326" s="3">
        <v>0.55000000000000004</v>
      </c>
      <c r="B326" s="1">
        <v>472</v>
      </c>
      <c r="C326" s="1">
        <v>2</v>
      </c>
      <c r="D326" s="2" t="s">
        <v>12</v>
      </c>
      <c r="E326" s="1">
        <v>36507</v>
      </c>
      <c r="F326" s="2" t="s">
        <v>9</v>
      </c>
      <c r="G326" s="3">
        <v>225.99312368709997</v>
      </c>
      <c r="H326" s="1">
        <v>327113</v>
      </c>
    </row>
    <row r="327" spans="1:8" ht="17.25" customHeight="1" x14ac:dyDescent="0.2">
      <c r="A327" s="3">
        <v>0.5</v>
      </c>
      <c r="B327" s="1">
        <v>413</v>
      </c>
      <c r="C327" s="1">
        <v>2</v>
      </c>
      <c r="D327" s="2" t="s">
        <v>12</v>
      </c>
      <c r="E327" s="1">
        <v>36507</v>
      </c>
      <c r="F327" s="2" t="s">
        <v>9</v>
      </c>
      <c r="G327" s="3">
        <v>197.74398322621249</v>
      </c>
      <c r="H327" s="1">
        <v>286223</v>
      </c>
    </row>
    <row r="328" spans="1:8" ht="17.25" customHeight="1" x14ac:dyDescent="0.2">
      <c r="A328" s="3">
        <v>0.45</v>
      </c>
      <c r="B328" s="1">
        <v>354</v>
      </c>
      <c r="C328" s="1">
        <v>2</v>
      </c>
      <c r="D328" s="2" t="s">
        <v>12</v>
      </c>
      <c r="E328" s="1">
        <v>36507</v>
      </c>
      <c r="F328" s="2" t="s">
        <v>9</v>
      </c>
      <c r="G328" s="3">
        <v>169.49484276532502</v>
      </c>
      <c r="H328" s="1">
        <v>245333</v>
      </c>
    </row>
    <row r="329" spans="1:8" ht="17.25" customHeight="1" x14ac:dyDescent="0.2">
      <c r="A329" s="3">
        <v>0.4</v>
      </c>
      <c r="B329" s="1">
        <v>354</v>
      </c>
      <c r="C329" s="1">
        <v>2</v>
      </c>
      <c r="D329" s="2" t="s">
        <v>12</v>
      </c>
      <c r="E329" s="1">
        <v>36507</v>
      </c>
      <c r="F329" s="2" t="s">
        <v>9</v>
      </c>
      <c r="G329" s="3">
        <v>169.49484276532502</v>
      </c>
      <c r="H329" s="1">
        <v>245333</v>
      </c>
    </row>
    <row r="330" spans="1:8" ht="17.25" customHeight="1" x14ac:dyDescent="0.2">
      <c r="A330" s="3">
        <v>0.35</v>
      </c>
      <c r="B330" s="1">
        <v>295</v>
      </c>
      <c r="C330" s="1">
        <v>2</v>
      </c>
      <c r="D330" s="2" t="s">
        <v>12</v>
      </c>
      <c r="E330" s="1">
        <v>36507</v>
      </c>
      <c r="F330" s="2" t="s">
        <v>9</v>
      </c>
      <c r="G330" s="3">
        <v>141.24570230443749</v>
      </c>
      <c r="H330" s="1">
        <v>204457</v>
      </c>
    </row>
    <row r="331" spans="1:8" ht="17.25" customHeight="1" x14ac:dyDescent="0.2">
      <c r="A331" s="3">
        <v>0.3</v>
      </c>
      <c r="B331" s="1">
        <v>236</v>
      </c>
      <c r="C331" s="1">
        <v>2</v>
      </c>
      <c r="D331" s="2" t="s">
        <v>12</v>
      </c>
      <c r="E331" s="1">
        <v>36507</v>
      </c>
      <c r="F331" s="2" t="s">
        <v>9</v>
      </c>
      <c r="G331" s="3">
        <v>112.99656184354998</v>
      </c>
      <c r="H331" s="1">
        <v>163567</v>
      </c>
    </row>
    <row r="332" spans="1:8" ht="17.25" customHeight="1" x14ac:dyDescent="0.2">
      <c r="A332" s="3">
        <v>0.25</v>
      </c>
      <c r="B332" s="1">
        <v>177</v>
      </c>
      <c r="C332" s="1">
        <v>2</v>
      </c>
      <c r="D332" s="2" t="s">
        <v>12</v>
      </c>
      <c r="E332" s="1">
        <v>36507</v>
      </c>
      <c r="F332" s="2" t="s">
        <v>9</v>
      </c>
      <c r="G332" s="3">
        <v>84.747421382662509</v>
      </c>
      <c r="H332" s="1">
        <v>122697</v>
      </c>
    </row>
    <row r="333" spans="1:8" ht="17.25" customHeight="1" x14ac:dyDescent="0.2">
      <c r="A333" s="3">
        <v>0.2</v>
      </c>
      <c r="B333" s="1">
        <v>177</v>
      </c>
      <c r="C333" s="1">
        <v>2</v>
      </c>
      <c r="D333" s="2" t="s">
        <v>12</v>
      </c>
      <c r="E333" s="1">
        <v>36507</v>
      </c>
      <c r="F333" s="2" t="s">
        <v>9</v>
      </c>
      <c r="G333" s="3">
        <v>84.747421382662509</v>
      </c>
      <c r="H333" s="1">
        <v>122697</v>
      </c>
    </row>
    <row r="334" spans="1:8" ht="17.25" customHeight="1" x14ac:dyDescent="0.2">
      <c r="A334" s="3">
        <v>0.15</v>
      </c>
      <c r="B334" s="1">
        <v>118</v>
      </c>
      <c r="C334" s="1">
        <v>2</v>
      </c>
      <c r="D334" s="2" t="s">
        <v>12</v>
      </c>
      <c r="E334" s="1">
        <v>36507</v>
      </c>
      <c r="F334" s="2" t="s">
        <v>9</v>
      </c>
      <c r="G334" s="3">
        <v>56.498280921774992</v>
      </c>
      <c r="H334" s="1">
        <v>81800</v>
      </c>
    </row>
    <row r="335" spans="1:8" ht="17.25" customHeight="1" x14ac:dyDescent="0.2">
      <c r="A335" s="3">
        <v>0.1</v>
      </c>
      <c r="B335" s="1">
        <v>59</v>
      </c>
      <c r="C335" s="1">
        <v>2</v>
      </c>
      <c r="D335" s="2" t="s">
        <v>12</v>
      </c>
      <c r="E335" s="1">
        <v>36507</v>
      </c>
      <c r="F335" s="2" t="s">
        <v>9</v>
      </c>
      <c r="G335" s="3">
        <v>28.249140460887496</v>
      </c>
      <c r="H335" s="1">
        <v>40902</v>
      </c>
    </row>
    <row r="336" spans="1:8" ht="16" x14ac:dyDescent="0.2">
      <c r="A336" s="3">
        <v>0.05</v>
      </c>
      <c r="B336" s="1">
        <v>0</v>
      </c>
      <c r="C336" s="1">
        <v>2</v>
      </c>
      <c r="D336" s="2" t="s">
        <v>12</v>
      </c>
      <c r="E336" s="1">
        <v>36507</v>
      </c>
      <c r="F336" s="2" t="s">
        <v>9</v>
      </c>
      <c r="G336" s="3">
        <v>0</v>
      </c>
      <c r="H336" s="1">
        <v>0</v>
      </c>
    </row>
    <row r="337" spans="1:8" ht="16" x14ac:dyDescent="0.2">
      <c r="A337" s="1">
        <v>0</v>
      </c>
      <c r="B337" s="1">
        <v>0</v>
      </c>
      <c r="C337" s="1">
        <v>2</v>
      </c>
      <c r="D337" s="2" t="s">
        <v>12</v>
      </c>
      <c r="E337" s="1">
        <v>36507</v>
      </c>
      <c r="F337" s="2" t="s">
        <v>9</v>
      </c>
      <c r="G337" s="3">
        <v>0</v>
      </c>
      <c r="H337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U24"/>
  <sheetViews>
    <sheetView workbookViewId="0">
      <selection activeCell="E30" sqref="E30"/>
    </sheetView>
  </sheetViews>
  <sheetFormatPr baseColWidth="10" defaultColWidth="8.83203125" defaultRowHeight="16" x14ac:dyDescent="0.2"/>
  <cols>
    <col min="1" max="1" width="15.1640625" style="175" bestFit="1" customWidth="1"/>
    <col min="2" max="2" width="16.83203125" style="175" bestFit="1" customWidth="1"/>
    <col min="3" max="3" width="14.33203125" style="175" bestFit="1" customWidth="1"/>
    <col min="4" max="4" width="26" style="175" bestFit="1" customWidth="1"/>
    <col min="5" max="5" width="25.5" style="175" bestFit="1" customWidth="1"/>
    <col min="6" max="6" width="14.33203125" style="181" bestFit="1" customWidth="1"/>
    <col min="7" max="7" width="15.33203125" style="181" bestFit="1" customWidth="1"/>
    <col min="8" max="8" width="15.1640625" style="188" bestFit="1" customWidth="1"/>
    <col min="9" max="9" width="15.33203125" style="181" bestFit="1" customWidth="1"/>
    <col min="10" max="10" width="17.1640625" style="175" bestFit="1" customWidth="1"/>
    <col min="11" max="11" width="14.33203125" style="181" bestFit="1" customWidth="1"/>
    <col min="12" max="12" width="16.83203125" style="181" bestFit="1" customWidth="1"/>
    <col min="13" max="13" width="11" style="187" bestFit="1" customWidth="1"/>
    <col min="14" max="14" width="10.33203125" style="187" bestFit="1" customWidth="1"/>
    <col min="15" max="15" width="11.1640625" style="187" bestFit="1" customWidth="1"/>
    <col min="16" max="17" width="17.1640625" style="187" bestFit="1" customWidth="1"/>
    <col min="18" max="18" width="20" style="187" bestFit="1" customWidth="1"/>
    <col min="19" max="19" width="20.1640625" style="187" bestFit="1" customWidth="1"/>
    <col min="20" max="20" width="14" style="180" bestFit="1" customWidth="1"/>
    <col min="21" max="21" width="18.83203125" style="181" bestFit="1" customWidth="1"/>
    <col min="22" max="16384" width="8.83203125" style="182"/>
  </cols>
  <sheetData>
    <row r="1" spans="1:21" ht="17.25" customHeight="1" x14ac:dyDescent="0.2">
      <c r="F1" s="259" t="s">
        <v>61</v>
      </c>
      <c r="G1" s="259"/>
      <c r="H1" s="259"/>
      <c r="I1" s="259"/>
      <c r="J1" s="260"/>
      <c r="K1" s="259"/>
      <c r="L1" s="259"/>
      <c r="M1" s="261"/>
      <c r="N1" s="261"/>
      <c r="O1" s="261"/>
      <c r="P1" s="178"/>
      <c r="Q1" s="178"/>
      <c r="R1" s="262" t="s">
        <v>62</v>
      </c>
      <c r="S1" s="262"/>
    </row>
    <row r="2" spans="1:21" ht="17.25" customHeight="1" x14ac:dyDescent="0.2">
      <c r="A2" s="177" t="s">
        <v>63</v>
      </c>
      <c r="B2" s="177" t="s">
        <v>64</v>
      </c>
      <c r="C2" s="177" t="s">
        <v>0</v>
      </c>
      <c r="D2" s="177" t="s">
        <v>65</v>
      </c>
      <c r="E2" s="177" t="s">
        <v>66</v>
      </c>
      <c r="F2" s="176" t="s">
        <v>67</v>
      </c>
      <c r="G2" s="176" t="s">
        <v>68</v>
      </c>
      <c r="H2" s="176" t="s">
        <v>69</v>
      </c>
      <c r="I2" s="176" t="s">
        <v>70</v>
      </c>
      <c r="J2" s="177" t="s">
        <v>71</v>
      </c>
      <c r="K2" s="176" t="s">
        <v>72</v>
      </c>
      <c r="L2" s="176" t="s">
        <v>73</v>
      </c>
      <c r="M2" s="178" t="s">
        <v>74</v>
      </c>
      <c r="N2" s="178" t="s">
        <v>75</v>
      </c>
      <c r="O2" s="178" t="s">
        <v>1</v>
      </c>
      <c r="P2" s="178" t="s">
        <v>76</v>
      </c>
      <c r="Q2" s="178" t="s">
        <v>77</v>
      </c>
      <c r="R2" s="178" t="s">
        <v>78</v>
      </c>
      <c r="S2" s="178" t="s">
        <v>79</v>
      </c>
      <c r="T2" s="183" t="s">
        <v>80</v>
      </c>
      <c r="U2" s="176" t="s">
        <v>6</v>
      </c>
    </row>
    <row r="3" spans="1:21" ht="17.25" customHeight="1" x14ac:dyDescent="0.2">
      <c r="A3" s="184">
        <v>1</v>
      </c>
      <c r="B3" s="184">
        <v>43560</v>
      </c>
      <c r="C3" s="184">
        <v>1</v>
      </c>
      <c r="D3" s="184">
        <f t="shared" ref="D3:D23" si="0">B3*C3</f>
        <v>43560</v>
      </c>
      <c r="E3" s="185">
        <f t="shared" ref="E3:E23" si="1">0.09290303*D3</f>
        <v>4046.8559867999998</v>
      </c>
      <c r="F3" s="185">
        <f t="shared" ref="F3:F23" si="2">SQRT(B3)</f>
        <v>208.71032557111303</v>
      </c>
      <c r="G3" s="185">
        <f t="shared" ref="G3:G23" si="3">F3</f>
        <v>208.71032557111303</v>
      </c>
      <c r="H3" s="185">
        <f t="shared" ref="H3:H23" si="4">D3/G3</f>
        <v>208.71032557111303</v>
      </c>
      <c r="I3" s="185">
        <v>7.75</v>
      </c>
      <c r="J3" s="184">
        <v>6</v>
      </c>
      <c r="K3" s="185">
        <v>3.5</v>
      </c>
      <c r="L3" s="185">
        <f t="shared" ref="L3:L23" si="5">I3*K3</f>
        <v>27.125</v>
      </c>
      <c r="M3" s="179">
        <f t="shared" ref="M3:M23" si="6">ROUNDDOWN(G3/K3,0)</f>
        <v>59</v>
      </c>
      <c r="N3" s="179">
        <f t="shared" ref="N3:N23" si="7">ROUNDDOWN(H3/(I3+J3),0)</f>
        <v>15</v>
      </c>
      <c r="O3" s="179">
        <f t="shared" ref="O3:O23" si="8">M3*N3</f>
        <v>885</v>
      </c>
      <c r="P3" s="179">
        <f t="shared" ref="P3:P23" si="9">O3*I3*K3</f>
        <v>24005.625</v>
      </c>
      <c r="Q3" s="179">
        <f t="shared" ref="Q3:Q23" si="10">0.09290303*P3</f>
        <v>2230.19529954375</v>
      </c>
      <c r="R3" s="179">
        <f t="shared" ref="R3:R23" si="11">ROUNDDOWN(F3-N3*I3,0)</f>
        <v>92</v>
      </c>
      <c r="S3" s="179">
        <f t="shared" ref="S3:S20" si="12">ROUNDDOWN(R3/(N3-1),0)</f>
        <v>6</v>
      </c>
      <c r="T3" s="186">
        <v>0.19</v>
      </c>
      <c r="U3" s="185">
        <f t="shared" ref="U3:U23" si="13">Q3*1*T3</f>
        <v>423.73710691331252</v>
      </c>
    </row>
    <row r="4" spans="1:21" ht="17.25" customHeight="1" x14ac:dyDescent="0.2">
      <c r="A4" s="184">
        <v>1</v>
      </c>
      <c r="B4" s="184">
        <v>43560</v>
      </c>
      <c r="C4" s="185">
        <v>0.95</v>
      </c>
      <c r="D4" s="184">
        <f t="shared" si="0"/>
        <v>41382</v>
      </c>
      <c r="E4" s="185">
        <f t="shared" si="1"/>
        <v>3844.5131874599997</v>
      </c>
      <c r="F4" s="185">
        <f t="shared" si="2"/>
        <v>208.71032557111303</v>
      </c>
      <c r="G4" s="185">
        <f t="shared" si="3"/>
        <v>208.71032557111303</v>
      </c>
      <c r="H4" s="185">
        <f t="shared" si="4"/>
        <v>198.27480929255739</v>
      </c>
      <c r="I4" s="185">
        <v>7.75</v>
      </c>
      <c r="J4" s="184">
        <v>6</v>
      </c>
      <c r="K4" s="185">
        <v>3.5</v>
      </c>
      <c r="L4" s="185">
        <f t="shared" si="5"/>
        <v>27.125</v>
      </c>
      <c r="M4" s="179">
        <f t="shared" si="6"/>
        <v>59</v>
      </c>
      <c r="N4" s="179">
        <f t="shared" si="7"/>
        <v>14</v>
      </c>
      <c r="O4" s="179">
        <f t="shared" si="8"/>
        <v>826</v>
      </c>
      <c r="P4" s="179">
        <f t="shared" si="9"/>
        <v>22405.25</v>
      </c>
      <c r="Q4" s="179">
        <f t="shared" si="10"/>
        <v>2081.5156129074999</v>
      </c>
      <c r="R4" s="179">
        <f t="shared" si="11"/>
        <v>100</v>
      </c>
      <c r="S4" s="179">
        <f t="shared" si="12"/>
        <v>7</v>
      </c>
      <c r="T4" s="186">
        <v>0.19</v>
      </c>
      <c r="U4" s="185">
        <f t="shared" si="13"/>
        <v>395.48796645242498</v>
      </c>
    </row>
    <row r="5" spans="1:21" ht="17.25" customHeight="1" x14ac:dyDescent="0.2">
      <c r="A5" s="184">
        <v>1</v>
      </c>
      <c r="B5" s="184">
        <v>43560</v>
      </c>
      <c r="C5" s="185">
        <v>0.9</v>
      </c>
      <c r="D5" s="184">
        <f t="shared" si="0"/>
        <v>39204</v>
      </c>
      <c r="E5" s="185">
        <f t="shared" si="1"/>
        <v>3642.1703881200001</v>
      </c>
      <c r="F5" s="185">
        <f t="shared" si="2"/>
        <v>208.71032557111303</v>
      </c>
      <c r="G5" s="185">
        <f t="shared" si="3"/>
        <v>208.71032557111303</v>
      </c>
      <c r="H5" s="185">
        <f t="shared" si="4"/>
        <v>187.83929301400173</v>
      </c>
      <c r="I5" s="185">
        <v>7.75</v>
      </c>
      <c r="J5" s="184">
        <v>6</v>
      </c>
      <c r="K5" s="185">
        <v>3.5</v>
      </c>
      <c r="L5" s="185">
        <f t="shared" si="5"/>
        <v>27.125</v>
      </c>
      <c r="M5" s="179">
        <f t="shared" si="6"/>
        <v>59</v>
      </c>
      <c r="N5" s="179">
        <f t="shared" si="7"/>
        <v>13</v>
      </c>
      <c r="O5" s="179">
        <f t="shared" si="8"/>
        <v>767</v>
      </c>
      <c r="P5" s="179">
        <f t="shared" si="9"/>
        <v>20804.875</v>
      </c>
      <c r="Q5" s="179">
        <f t="shared" si="10"/>
        <v>1932.8359262712499</v>
      </c>
      <c r="R5" s="179">
        <f t="shared" si="11"/>
        <v>107</v>
      </c>
      <c r="S5" s="179">
        <f t="shared" si="12"/>
        <v>8</v>
      </c>
      <c r="T5" s="186">
        <v>0.19</v>
      </c>
      <c r="U5" s="185">
        <f t="shared" si="13"/>
        <v>367.23882599153751</v>
      </c>
    </row>
    <row r="6" spans="1:21" ht="17.25" customHeight="1" x14ac:dyDescent="0.2">
      <c r="A6" s="184">
        <v>1</v>
      </c>
      <c r="B6" s="184">
        <v>43560</v>
      </c>
      <c r="C6" s="185">
        <v>0.85</v>
      </c>
      <c r="D6" s="184">
        <f t="shared" si="0"/>
        <v>37026</v>
      </c>
      <c r="E6" s="185">
        <f t="shared" si="1"/>
        <v>3439.82758878</v>
      </c>
      <c r="F6" s="185">
        <f t="shared" si="2"/>
        <v>208.71032557111303</v>
      </c>
      <c r="G6" s="185">
        <f t="shared" si="3"/>
        <v>208.71032557111303</v>
      </c>
      <c r="H6" s="185">
        <f t="shared" si="4"/>
        <v>177.40377673544609</v>
      </c>
      <c r="I6" s="185">
        <v>7.75</v>
      </c>
      <c r="J6" s="184">
        <v>6</v>
      </c>
      <c r="K6" s="185">
        <v>3.5</v>
      </c>
      <c r="L6" s="185">
        <f t="shared" si="5"/>
        <v>27.125</v>
      </c>
      <c r="M6" s="179">
        <f t="shared" si="6"/>
        <v>59</v>
      </c>
      <c r="N6" s="179">
        <f t="shared" si="7"/>
        <v>12</v>
      </c>
      <c r="O6" s="179">
        <f t="shared" si="8"/>
        <v>708</v>
      </c>
      <c r="P6" s="179">
        <f t="shared" si="9"/>
        <v>19204.5</v>
      </c>
      <c r="Q6" s="179">
        <f t="shared" si="10"/>
        <v>1784.156239635</v>
      </c>
      <c r="R6" s="179">
        <f t="shared" si="11"/>
        <v>115</v>
      </c>
      <c r="S6" s="179">
        <f t="shared" si="12"/>
        <v>10</v>
      </c>
      <c r="T6" s="186">
        <v>0.19</v>
      </c>
      <c r="U6" s="185">
        <f t="shared" si="13"/>
        <v>338.98968553065004</v>
      </c>
    </row>
    <row r="7" spans="1:21" ht="17.25" customHeight="1" x14ac:dyDescent="0.2">
      <c r="A7" s="184">
        <v>1</v>
      </c>
      <c r="B7" s="184">
        <v>43560</v>
      </c>
      <c r="C7" s="185">
        <v>0.8</v>
      </c>
      <c r="D7" s="184">
        <f t="shared" si="0"/>
        <v>34848</v>
      </c>
      <c r="E7" s="185">
        <f t="shared" si="1"/>
        <v>3237.48478944</v>
      </c>
      <c r="F7" s="185">
        <f t="shared" si="2"/>
        <v>208.71032557111303</v>
      </c>
      <c r="G7" s="185">
        <f t="shared" si="3"/>
        <v>208.71032557111303</v>
      </c>
      <c r="H7" s="185">
        <f t="shared" si="4"/>
        <v>166.96826045689042</v>
      </c>
      <c r="I7" s="185">
        <v>7.75</v>
      </c>
      <c r="J7" s="184">
        <v>6</v>
      </c>
      <c r="K7" s="185">
        <v>3.5</v>
      </c>
      <c r="L7" s="185">
        <f t="shared" si="5"/>
        <v>27.125</v>
      </c>
      <c r="M7" s="179">
        <f t="shared" si="6"/>
        <v>59</v>
      </c>
      <c r="N7" s="179">
        <f t="shared" si="7"/>
        <v>12</v>
      </c>
      <c r="O7" s="179">
        <f t="shared" si="8"/>
        <v>708</v>
      </c>
      <c r="P7" s="179">
        <f t="shared" si="9"/>
        <v>19204.5</v>
      </c>
      <c r="Q7" s="179">
        <f t="shared" si="10"/>
        <v>1784.156239635</v>
      </c>
      <c r="R7" s="179">
        <f t="shared" si="11"/>
        <v>115</v>
      </c>
      <c r="S7" s="179">
        <f t="shared" si="12"/>
        <v>10</v>
      </c>
      <c r="T7" s="186">
        <v>0.19</v>
      </c>
      <c r="U7" s="185">
        <f t="shared" si="13"/>
        <v>338.98968553065004</v>
      </c>
    </row>
    <row r="8" spans="1:21" ht="17.25" customHeight="1" x14ac:dyDescent="0.2">
      <c r="A8" s="184">
        <v>1</v>
      </c>
      <c r="B8" s="184">
        <v>43560</v>
      </c>
      <c r="C8" s="185">
        <v>0.75</v>
      </c>
      <c r="D8" s="184">
        <f t="shared" si="0"/>
        <v>32670</v>
      </c>
      <c r="E8" s="185">
        <f t="shared" si="1"/>
        <v>3035.1419900999999</v>
      </c>
      <c r="F8" s="185">
        <f t="shared" si="2"/>
        <v>208.71032557111303</v>
      </c>
      <c r="G8" s="185">
        <f t="shared" si="3"/>
        <v>208.71032557111303</v>
      </c>
      <c r="H8" s="185">
        <f t="shared" si="4"/>
        <v>156.53274417833478</v>
      </c>
      <c r="I8" s="185">
        <v>7.75</v>
      </c>
      <c r="J8" s="184">
        <v>6</v>
      </c>
      <c r="K8" s="185">
        <v>3.5</v>
      </c>
      <c r="L8" s="185">
        <f t="shared" si="5"/>
        <v>27.125</v>
      </c>
      <c r="M8" s="179">
        <f t="shared" si="6"/>
        <v>59</v>
      </c>
      <c r="N8" s="179">
        <f t="shared" si="7"/>
        <v>11</v>
      </c>
      <c r="O8" s="179">
        <f t="shared" si="8"/>
        <v>649</v>
      </c>
      <c r="P8" s="179">
        <f t="shared" si="9"/>
        <v>17604.125</v>
      </c>
      <c r="Q8" s="179">
        <f t="shared" si="10"/>
        <v>1635.4765529987499</v>
      </c>
      <c r="R8" s="179">
        <f t="shared" si="11"/>
        <v>123</v>
      </c>
      <c r="S8" s="179">
        <f t="shared" si="12"/>
        <v>12</v>
      </c>
      <c r="T8" s="186">
        <v>0.19</v>
      </c>
      <c r="U8" s="185">
        <f t="shared" si="13"/>
        <v>310.7405450697625</v>
      </c>
    </row>
    <row r="9" spans="1:21" ht="17.25" customHeight="1" x14ac:dyDescent="0.2">
      <c r="A9" s="184">
        <v>1</v>
      </c>
      <c r="B9" s="184">
        <v>43560</v>
      </c>
      <c r="C9" s="185">
        <v>0.7</v>
      </c>
      <c r="D9" s="185">
        <f t="shared" si="0"/>
        <v>30491.999999999996</v>
      </c>
      <c r="E9" s="185">
        <f t="shared" si="1"/>
        <v>2832.7991907599994</v>
      </c>
      <c r="F9" s="185">
        <f t="shared" si="2"/>
        <v>208.71032557111303</v>
      </c>
      <c r="G9" s="185">
        <f t="shared" si="3"/>
        <v>208.71032557111303</v>
      </c>
      <c r="H9" s="185">
        <f t="shared" si="4"/>
        <v>146.09722789977911</v>
      </c>
      <c r="I9" s="185">
        <v>7.75</v>
      </c>
      <c r="J9" s="184">
        <v>6</v>
      </c>
      <c r="K9" s="185">
        <v>3.5</v>
      </c>
      <c r="L9" s="185">
        <f t="shared" si="5"/>
        <v>27.125</v>
      </c>
      <c r="M9" s="179">
        <f t="shared" si="6"/>
        <v>59</v>
      </c>
      <c r="N9" s="179">
        <f t="shared" si="7"/>
        <v>10</v>
      </c>
      <c r="O9" s="179">
        <f t="shared" si="8"/>
        <v>590</v>
      </c>
      <c r="P9" s="179">
        <f t="shared" si="9"/>
        <v>16003.75</v>
      </c>
      <c r="Q9" s="179">
        <f t="shared" si="10"/>
        <v>1486.7968663624999</v>
      </c>
      <c r="R9" s="179">
        <f t="shared" si="11"/>
        <v>131</v>
      </c>
      <c r="S9" s="179">
        <f t="shared" si="12"/>
        <v>14</v>
      </c>
      <c r="T9" s="186">
        <v>0.19</v>
      </c>
      <c r="U9" s="185">
        <f t="shared" si="13"/>
        <v>282.49140460887497</v>
      </c>
    </row>
    <row r="10" spans="1:21" ht="17.25" customHeight="1" x14ac:dyDescent="0.2">
      <c r="A10" s="184">
        <v>1</v>
      </c>
      <c r="B10" s="184">
        <v>43560</v>
      </c>
      <c r="C10" s="185">
        <v>0.65</v>
      </c>
      <c r="D10" s="184">
        <f t="shared" si="0"/>
        <v>28314</v>
      </c>
      <c r="E10" s="185">
        <f t="shared" si="1"/>
        <v>2630.4563914199998</v>
      </c>
      <c r="F10" s="185">
        <f t="shared" si="2"/>
        <v>208.71032557111303</v>
      </c>
      <c r="G10" s="185">
        <f t="shared" si="3"/>
        <v>208.71032557111303</v>
      </c>
      <c r="H10" s="185">
        <f t="shared" si="4"/>
        <v>135.66171162122347</v>
      </c>
      <c r="I10" s="185">
        <v>7.75</v>
      </c>
      <c r="J10" s="184">
        <v>6</v>
      </c>
      <c r="K10" s="185">
        <v>3.5</v>
      </c>
      <c r="L10" s="185">
        <f t="shared" si="5"/>
        <v>27.125</v>
      </c>
      <c r="M10" s="179">
        <f t="shared" si="6"/>
        <v>59</v>
      </c>
      <c r="N10" s="179">
        <f t="shared" si="7"/>
        <v>9</v>
      </c>
      <c r="O10" s="179">
        <f t="shared" si="8"/>
        <v>531</v>
      </c>
      <c r="P10" s="179">
        <f t="shared" si="9"/>
        <v>14403.375</v>
      </c>
      <c r="Q10" s="179">
        <f t="shared" si="10"/>
        <v>1338.11717972625</v>
      </c>
      <c r="R10" s="179">
        <f t="shared" si="11"/>
        <v>138</v>
      </c>
      <c r="S10" s="179">
        <f t="shared" si="12"/>
        <v>17</v>
      </c>
      <c r="T10" s="186">
        <v>0.19</v>
      </c>
      <c r="U10" s="185">
        <f t="shared" si="13"/>
        <v>254.2422641479875</v>
      </c>
    </row>
    <row r="11" spans="1:21" ht="17.25" customHeight="1" x14ac:dyDescent="0.2">
      <c r="A11" s="184">
        <v>1</v>
      </c>
      <c r="B11" s="184">
        <v>43560</v>
      </c>
      <c r="C11" s="185">
        <v>0.6</v>
      </c>
      <c r="D11" s="184">
        <f t="shared" si="0"/>
        <v>26136</v>
      </c>
      <c r="E11" s="185">
        <f t="shared" si="1"/>
        <v>2428.1135920799998</v>
      </c>
      <c r="F11" s="185">
        <f t="shared" si="2"/>
        <v>208.71032557111303</v>
      </c>
      <c r="G11" s="185">
        <f t="shared" si="3"/>
        <v>208.71032557111303</v>
      </c>
      <c r="H11" s="185">
        <f t="shared" si="4"/>
        <v>125.22619534266782</v>
      </c>
      <c r="I11" s="185">
        <v>7.75</v>
      </c>
      <c r="J11" s="184">
        <v>6</v>
      </c>
      <c r="K11" s="185">
        <v>3.5</v>
      </c>
      <c r="L11" s="185">
        <f t="shared" si="5"/>
        <v>27.125</v>
      </c>
      <c r="M11" s="179">
        <f t="shared" si="6"/>
        <v>59</v>
      </c>
      <c r="N11" s="179">
        <f t="shared" si="7"/>
        <v>9</v>
      </c>
      <c r="O11" s="179">
        <f t="shared" si="8"/>
        <v>531</v>
      </c>
      <c r="P11" s="179">
        <f t="shared" si="9"/>
        <v>14403.375</v>
      </c>
      <c r="Q11" s="179">
        <f t="shared" si="10"/>
        <v>1338.11717972625</v>
      </c>
      <c r="R11" s="179">
        <f t="shared" si="11"/>
        <v>138</v>
      </c>
      <c r="S11" s="179">
        <f t="shared" si="12"/>
        <v>17</v>
      </c>
      <c r="T11" s="186">
        <v>0.19</v>
      </c>
      <c r="U11" s="185">
        <f t="shared" si="13"/>
        <v>254.2422641479875</v>
      </c>
    </row>
    <row r="12" spans="1:21" ht="17.25" customHeight="1" x14ac:dyDescent="0.2">
      <c r="A12" s="184">
        <v>1</v>
      </c>
      <c r="B12" s="184">
        <v>43560</v>
      </c>
      <c r="C12" s="185">
        <v>0.55000000000000004</v>
      </c>
      <c r="D12" s="185">
        <f t="shared" si="0"/>
        <v>23958.000000000004</v>
      </c>
      <c r="E12" s="185">
        <f t="shared" si="1"/>
        <v>2225.7707927400002</v>
      </c>
      <c r="F12" s="185">
        <f t="shared" si="2"/>
        <v>208.71032557111303</v>
      </c>
      <c r="G12" s="185">
        <f t="shared" si="3"/>
        <v>208.71032557111303</v>
      </c>
      <c r="H12" s="185">
        <f t="shared" si="4"/>
        <v>114.79067906411218</v>
      </c>
      <c r="I12" s="185">
        <v>7.75</v>
      </c>
      <c r="J12" s="184">
        <v>6</v>
      </c>
      <c r="K12" s="185">
        <v>3.5</v>
      </c>
      <c r="L12" s="185">
        <f t="shared" si="5"/>
        <v>27.125</v>
      </c>
      <c r="M12" s="179">
        <f t="shared" si="6"/>
        <v>59</v>
      </c>
      <c r="N12" s="179">
        <f t="shared" si="7"/>
        <v>8</v>
      </c>
      <c r="O12" s="179">
        <f t="shared" si="8"/>
        <v>472</v>
      </c>
      <c r="P12" s="179">
        <f t="shared" si="9"/>
        <v>12803</v>
      </c>
      <c r="Q12" s="179">
        <f t="shared" si="10"/>
        <v>1189.4374930899999</v>
      </c>
      <c r="R12" s="179">
        <f t="shared" si="11"/>
        <v>146</v>
      </c>
      <c r="S12" s="179">
        <f t="shared" si="12"/>
        <v>20</v>
      </c>
      <c r="T12" s="186">
        <v>0.19</v>
      </c>
      <c r="U12" s="185">
        <f t="shared" si="13"/>
        <v>225.99312368709997</v>
      </c>
    </row>
    <row r="13" spans="1:21" ht="17.25" customHeight="1" x14ac:dyDescent="0.2">
      <c r="A13" s="184">
        <v>1</v>
      </c>
      <c r="B13" s="184">
        <v>43560</v>
      </c>
      <c r="C13" s="185">
        <v>0.5</v>
      </c>
      <c r="D13" s="184">
        <f t="shared" si="0"/>
        <v>21780</v>
      </c>
      <c r="E13" s="185">
        <f t="shared" si="1"/>
        <v>2023.4279933999999</v>
      </c>
      <c r="F13" s="185">
        <f t="shared" si="2"/>
        <v>208.71032557111303</v>
      </c>
      <c r="G13" s="185">
        <f t="shared" si="3"/>
        <v>208.71032557111303</v>
      </c>
      <c r="H13" s="185">
        <f t="shared" si="4"/>
        <v>104.35516278555652</v>
      </c>
      <c r="I13" s="185">
        <v>7.75</v>
      </c>
      <c r="J13" s="184">
        <v>6</v>
      </c>
      <c r="K13" s="185">
        <v>3.5</v>
      </c>
      <c r="L13" s="185">
        <f t="shared" si="5"/>
        <v>27.125</v>
      </c>
      <c r="M13" s="179">
        <f t="shared" si="6"/>
        <v>59</v>
      </c>
      <c r="N13" s="179">
        <f t="shared" si="7"/>
        <v>7</v>
      </c>
      <c r="O13" s="179">
        <f t="shared" si="8"/>
        <v>413</v>
      </c>
      <c r="P13" s="179">
        <f t="shared" si="9"/>
        <v>11202.625</v>
      </c>
      <c r="Q13" s="179">
        <f t="shared" si="10"/>
        <v>1040.7578064537499</v>
      </c>
      <c r="R13" s="179">
        <f t="shared" si="11"/>
        <v>154</v>
      </c>
      <c r="S13" s="179">
        <f t="shared" si="12"/>
        <v>25</v>
      </c>
      <c r="T13" s="186">
        <v>0.19</v>
      </c>
      <c r="U13" s="185">
        <f t="shared" si="13"/>
        <v>197.74398322621249</v>
      </c>
    </row>
    <row r="14" spans="1:21" ht="17.25" customHeight="1" x14ac:dyDescent="0.2">
      <c r="A14" s="184">
        <v>1</v>
      </c>
      <c r="B14" s="184">
        <v>43560</v>
      </c>
      <c r="C14" s="185">
        <v>0.45</v>
      </c>
      <c r="D14" s="184">
        <f t="shared" si="0"/>
        <v>19602</v>
      </c>
      <c r="E14" s="185">
        <f t="shared" si="1"/>
        <v>1821.08519406</v>
      </c>
      <c r="F14" s="185">
        <f t="shared" si="2"/>
        <v>208.71032557111303</v>
      </c>
      <c r="G14" s="185">
        <f t="shared" si="3"/>
        <v>208.71032557111303</v>
      </c>
      <c r="H14" s="185">
        <f t="shared" si="4"/>
        <v>93.919646507000863</v>
      </c>
      <c r="I14" s="185">
        <v>7.75</v>
      </c>
      <c r="J14" s="184">
        <v>6</v>
      </c>
      <c r="K14" s="185">
        <v>3.5</v>
      </c>
      <c r="L14" s="185">
        <f t="shared" si="5"/>
        <v>27.125</v>
      </c>
      <c r="M14" s="179">
        <f t="shared" si="6"/>
        <v>59</v>
      </c>
      <c r="N14" s="179">
        <f t="shared" si="7"/>
        <v>6</v>
      </c>
      <c r="O14" s="179">
        <f t="shared" si="8"/>
        <v>354</v>
      </c>
      <c r="P14" s="179">
        <f t="shared" si="9"/>
        <v>9602.25</v>
      </c>
      <c r="Q14" s="179">
        <f t="shared" si="10"/>
        <v>892.07811981750001</v>
      </c>
      <c r="R14" s="179">
        <f t="shared" si="11"/>
        <v>162</v>
      </c>
      <c r="S14" s="179">
        <f t="shared" si="12"/>
        <v>32</v>
      </c>
      <c r="T14" s="186">
        <v>0.19</v>
      </c>
      <c r="U14" s="185">
        <f t="shared" si="13"/>
        <v>169.49484276532502</v>
      </c>
    </row>
    <row r="15" spans="1:21" ht="17.25" customHeight="1" x14ac:dyDescent="0.2">
      <c r="A15" s="184">
        <v>1</v>
      </c>
      <c r="B15" s="184">
        <v>43560</v>
      </c>
      <c r="C15" s="185">
        <v>0.4</v>
      </c>
      <c r="D15" s="184">
        <f t="shared" si="0"/>
        <v>17424</v>
      </c>
      <c r="E15" s="185">
        <f t="shared" si="1"/>
        <v>1618.74239472</v>
      </c>
      <c r="F15" s="185">
        <f t="shared" si="2"/>
        <v>208.71032557111303</v>
      </c>
      <c r="G15" s="185">
        <f t="shared" si="3"/>
        <v>208.71032557111303</v>
      </c>
      <c r="H15" s="185">
        <f t="shared" si="4"/>
        <v>83.48413022844521</v>
      </c>
      <c r="I15" s="185">
        <v>7.75</v>
      </c>
      <c r="J15" s="184">
        <v>6</v>
      </c>
      <c r="K15" s="185">
        <v>3.5</v>
      </c>
      <c r="L15" s="185">
        <f t="shared" si="5"/>
        <v>27.125</v>
      </c>
      <c r="M15" s="179">
        <f t="shared" si="6"/>
        <v>59</v>
      </c>
      <c r="N15" s="179">
        <f t="shared" si="7"/>
        <v>6</v>
      </c>
      <c r="O15" s="179">
        <f t="shared" si="8"/>
        <v>354</v>
      </c>
      <c r="P15" s="179">
        <f t="shared" si="9"/>
        <v>9602.25</v>
      </c>
      <c r="Q15" s="179">
        <f t="shared" si="10"/>
        <v>892.07811981750001</v>
      </c>
      <c r="R15" s="179">
        <f t="shared" si="11"/>
        <v>162</v>
      </c>
      <c r="S15" s="179">
        <f t="shared" si="12"/>
        <v>32</v>
      </c>
      <c r="T15" s="186">
        <v>0.19</v>
      </c>
      <c r="U15" s="185">
        <f t="shared" si="13"/>
        <v>169.49484276532502</v>
      </c>
    </row>
    <row r="16" spans="1:21" ht="17.25" customHeight="1" x14ac:dyDescent="0.2">
      <c r="A16" s="184">
        <v>1</v>
      </c>
      <c r="B16" s="184">
        <v>43560</v>
      </c>
      <c r="C16" s="185">
        <v>0.35</v>
      </c>
      <c r="D16" s="185">
        <f t="shared" si="0"/>
        <v>15245.999999999998</v>
      </c>
      <c r="E16" s="185">
        <f t="shared" si="1"/>
        <v>1416.3995953799997</v>
      </c>
      <c r="F16" s="185">
        <f t="shared" si="2"/>
        <v>208.71032557111303</v>
      </c>
      <c r="G16" s="185">
        <f t="shared" si="3"/>
        <v>208.71032557111303</v>
      </c>
      <c r="H16" s="185">
        <f t="shared" si="4"/>
        <v>73.048613949889557</v>
      </c>
      <c r="I16" s="185">
        <v>7.75</v>
      </c>
      <c r="J16" s="184">
        <v>6</v>
      </c>
      <c r="K16" s="185">
        <v>3.5</v>
      </c>
      <c r="L16" s="185">
        <f t="shared" si="5"/>
        <v>27.125</v>
      </c>
      <c r="M16" s="179">
        <f t="shared" si="6"/>
        <v>59</v>
      </c>
      <c r="N16" s="179">
        <f t="shared" si="7"/>
        <v>5</v>
      </c>
      <c r="O16" s="179">
        <f t="shared" si="8"/>
        <v>295</v>
      </c>
      <c r="P16" s="179">
        <f t="shared" si="9"/>
        <v>8001.875</v>
      </c>
      <c r="Q16" s="179">
        <f t="shared" si="10"/>
        <v>743.39843318124997</v>
      </c>
      <c r="R16" s="179">
        <f t="shared" si="11"/>
        <v>169</v>
      </c>
      <c r="S16" s="179">
        <f t="shared" si="12"/>
        <v>42</v>
      </c>
      <c r="T16" s="186">
        <v>0.19</v>
      </c>
      <c r="U16" s="185">
        <f t="shared" si="13"/>
        <v>141.24570230443749</v>
      </c>
    </row>
    <row r="17" spans="1:21" ht="17.25" customHeight="1" x14ac:dyDescent="0.2">
      <c r="A17" s="184">
        <v>1</v>
      </c>
      <c r="B17" s="184">
        <v>43560</v>
      </c>
      <c r="C17" s="185">
        <v>0.3</v>
      </c>
      <c r="D17" s="184">
        <f t="shared" si="0"/>
        <v>13068</v>
      </c>
      <c r="E17" s="185">
        <f t="shared" si="1"/>
        <v>1214.0567960399999</v>
      </c>
      <c r="F17" s="185">
        <f t="shared" si="2"/>
        <v>208.71032557111303</v>
      </c>
      <c r="G17" s="185">
        <f t="shared" si="3"/>
        <v>208.71032557111303</v>
      </c>
      <c r="H17" s="185">
        <f t="shared" si="4"/>
        <v>62.613097671333911</v>
      </c>
      <c r="I17" s="185">
        <v>7.75</v>
      </c>
      <c r="J17" s="184">
        <v>6</v>
      </c>
      <c r="K17" s="185">
        <v>3.5</v>
      </c>
      <c r="L17" s="185">
        <f t="shared" si="5"/>
        <v>27.125</v>
      </c>
      <c r="M17" s="179">
        <f t="shared" si="6"/>
        <v>59</v>
      </c>
      <c r="N17" s="179">
        <f t="shared" si="7"/>
        <v>4</v>
      </c>
      <c r="O17" s="179">
        <f t="shared" si="8"/>
        <v>236</v>
      </c>
      <c r="P17" s="179">
        <f t="shared" si="9"/>
        <v>6401.5</v>
      </c>
      <c r="Q17" s="179">
        <f t="shared" si="10"/>
        <v>594.71874654499993</v>
      </c>
      <c r="R17" s="179">
        <f t="shared" si="11"/>
        <v>177</v>
      </c>
      <c r="S17" s="179">
        <f t="shared" si="12"/>
        <v>59</v>
      </c>
      <c r="T17" s="186">
        <v>0.19</v>
      </c>
      <c r="U17" s="185">
        <f t="shared" si="13"/>
        <v>112.99656184354998</v>
      </c>
    </row>
    <row r="18" spans="1:21" ht="17.25" customHeight="1" x14ac:dyDescent="0.2">
      <c r="A18" s="184">
        <v>1</v>
      </c>
      <c r="B18" s="184">
        <v>43560</v>
      </c>
      <c r="C18" s="185">
        <v>0.25</v>
      </c>
      <c r="D18" s="184">
        <f t="shared" si="0"/>
        <v>10890</v>
      </c>
      <c r="E18" s="185">
        <f t="shared" si="1"/>
        <v>1011.7139966999999</v>
      </c>
      <c r="F18" s="185">
        <f t="shared" si="2"/>
        <v>208.71032557111303</v>
      </c>
      <c r="G18" s="185">
        <f t="shared" si="3"/>
        <v>208.71032557111303</v>
      </c>
      <c r="H18" s="185">
        <f t="shared" si="4"/>
        <v>52.177581392778258</v>
      </c>
      <c r="I18" s="185">
        <v>7.75</v>
      </c>
      <c r="J18" s="184">
        <v>6</v>
      </c>
      <c r="K18" s="185">
        <v>3.5</v>
      </c>
      <c r="L18" s="185">
        <f t="shared" si="5"/>
        <v>27.125</v>
      </c>
      <c r="M18" s="179">
        <f t="shared" si="6"/>
        <v>59</v>
      </c>
      <c r="N18" s="179">
        <f t="shared" si="7"/>
        <v>3</v>
      </c>
      <c r="O18" s="179">
        <f t="shared" si="8"/>
        <v>177</v>
      </c>
      <c r="P18" s="179">
        <f t="shared" si="9"/>
        <v>4801.125</v>
      </c>
      <c r="Q18" s="179">
        <f t="shared" si="10"/>
        <v>446.03905990875</v>
      </c>
      <c r="R18" s="179">
        <f t="shared" si="11"/>
        <v>185</v>
      </c>
      <c r="S18" s="179">
        <f t="shared" si="12"/>
        <v>92</v>
      </c>
      <c r="T18" s="186">
        <v>0.19</v>
      </c>
      <c r="U18" s="185">
        <f t="shared" si="13"/>
        <v>84.747421382662509</v>
      </c>
    </row>
    <row r="19" spans="1:21" ht="17.25" customHeight="1" x14ac:dyDescent="0.2">
      <c r="A19" s="184">
        <v>1</v>
      </c>
      <c r="B19" s="184">
        <v>43560</v>
      </c>
      <c r="C19" s="185">
        <v>0.2</v>
      </c>
      <c r="D19" s="184">
        <f t="shared" si="0"/>
        <v>8712</v>
      </c>
      <c r="E19" s="185">
        <f t="shared" si="1"/>
        <v>809.37119736</v>
      </c>
      <c r="F19" s="185">
        <f t="shared" si="2"/>
        <v>208.71032557111303</v>
      </c>
      <c r="G19" s="185">
        <f t="shared" si="3"/>
        <v>208.71032557111303</v>
      </c>
      <c r="H19" s="185">
        <f t="shared" si="4"/>
        <v>41.742065114222605</v>
      </c>
      <c r="I19" s="185">
        <v>7.75</v>
      </c>
      <c r="J19" s="184">
        <v>6</v>
      </c>
      <c r="K19" s="185">
        <v>3.5</v>
      </c>
      <c r="L19" s="185">
        <f t="shared" si="5"/>
        <v>27.125</v>
      </c>
      <c r="M19" s="179">
        <f t="shared" si="6"/>
        <v>59</v>
      </c>
      <c r="N19" s="179">
        <f t="shared" si="7"/>
        <v>3</v>
      </c>
      <c r="O19" s="179">
        <f t="shared" si="8"/>
        <v>177</v>
      </c>
      <c r="P19" s="179">
        <f t="shared" si="9"/>
        <v>4801.125</v>
      </c>
      <c r="Q19" s="179">
        <f t="shared" si="10"/>
        <v>446.03905990875</v>
      </c>
      <c r="R19" s="179">
        <f t="shared" si="11"/>
        <v>185</v>
      </c>
      <c r="S19" s="179">
        <f t="shared" si="12"/>
        <v>92</v>
      </c>
      <c r="T19" s="186">
        <v>0.19</v>
      </c>
      <c r="U19" s="185">
        <f t="shared" si="13"/>
        <v>84.747421382662509</v>
      </c>
    </row>
    <row r="20" spans="1:21" ht="17.25" customHeight="1" x14ac:dyDescent="0.2">
      <c r="A20" s="184">
        <v>1</v>
      </c>
      <c r="B20" s="184">
        <v>43560</v>
      </c>
      <c r="C20" s="185">
        <v>0.15</v>
      </c>
      <c r="D20" s="184">
        <f t="shared" si="0"/>
        <v>6534</v>
      </c>
      <c r="E20" s="185">
        <f t="shared" si="1"/>
        <v>607.02839801999994</v>
      </c>
      <c r="F20" s="185">
        <f t="shared" si="2"/>
        <v>208.71032557111303</v>
      </c>
      <c r="G20" s="185">
        <f t="shared" si="3"/>
        <v>208.71032557111303</v>
      </c>
      <c r="H20" s="185">
        <f t="shared" si="4"/>
        <v>31.306548835666955</v>
      </c>
      <c r="I20" s="185">
        <v>7.75</v>
      </c>
      <c r="J20" s="184">
        <v>6</v>
      </c>
      <c r="K20" s="185">
        <v>3.5</v>
      </c>
      <c r="L20" s="185">
        <f t="shared" si="5"/>
        <v>27.125</v>
      </c>
      <c r="M20" s="179">
        <f t="shared" si="6"/>
        <v>59</v>
      </c>
      <c r="N20" s="179">
        <f t="shared" si="7"/>
        <v>2</v>
      </c>
      <c r="O20" s="179">
        <f t="shared" si="8"/>
        <v>118</v>
      </c>
      <c r="P20" s="179">
        <f t="shared" si="9"/>
        <v>3200.75</v>
      </c>
      <c r="Q20" s="179">
        <f t="shared" si="10"/>
        <v>297.35937327249997</v>
      </c>
      <c r="R20" s="179">
        <f t="shared" si="11"/>
        <v>193</v>
      </c>
      <c r="S20" s="179">
        <f t="shared" si="12"/>
        <v>193</v>
      </c>
      <c r="T20" s="186">
        <v>0.19</v>
      </c>
      <c r="U20" s="185">
        <f t="shared" si="13"/>
        <v>56.498280921774992</v>
      </c>
    </row>
    <row r="21" spans="1:21" ht="17.25" customHeight="1" x14ac:dyDescent="0.2">
      <c r="A21" s="184">
        <v>1</v>
      </c>
      <c r="B21" s="184">
        <v>43560</v>
      </c>
      <c r="C21" s="185">
        <v>0.1</v>
      </c>
      <c r="D21" s="184">
        <f t="shared" si="0"/>
        <v>4356</v>
      </c>
      <c r="E21" s="185">
        <f t="shared" si="1"/>
        <v>404.68559868</v>
      </c>
      <c r="F21" s="185">
        <f t="shared" si="2"/>
        <v>208.71032557111303</v>
      </c>
      <c r="G21" s="185">
        <f t="shared" si="3"/>
        <v>208.71032557111303</v>
      </c>
      <c r="H21" s="185">
        <f t="shared" si="4"/>
        <v>20.871032557111302</v>
      </c>
      <c r="I21" s="185">
        <v>7.75</v>
      </c>
      <c r="J21" s="184">
        <v>6</v>
      </c>
      <c r="K21" s="185">
        <v>3.5</v>
      </c>
      <c r="L21" s="185">
        <f t="shared" si="5"/>
        <v>27.125</v>
      </c>
      <c r="M21" s="179">
        <f t="shared" si="6"/>
        <v>59</v>
      </c>
      <c r="N21" s="179">
        <f t="shared" si="7"/>
        <v>1</v>
      </c>
      <c r="O21" s="179">
        <f t="shared" si="8"/>
        <v>59</v>
      </c>
      <c r="P21" s="179">
        <f t="shared" si="9"/>
        <v>1600.375</v>
      </c>
      <c r="Q21" s="179">
        <f t="shared" si="10"/>
        <v>148.67968663624998</v>
      </c>
      <c r="R21" s="179">
        <f t="shared" si="11"/>
        <v>200</v>
      </c>
      <c r="S21" s="179" t="s">
        <v>81</v>
      </c>
      <c r="T21" s="186">
        <v>0.19</v>
      </c>
      <c r="U21" s="185">
        <f t="shared" si="13"/>
        <v>28.249140460887496</v>
      </c>
    </row>
    <row r="22" spans="1:21" ht="17.25" customHeight="1" x14ac:dyDescent="0.2">
      <c r="A22" s="184">
        <v>1</v>
      </c>
      <c r="B22" s="184">
        <v>43560</v>
      </c>
      <c r="C22" s="185">
        <v>0.05</v>
      </c>
      <c r="D22" s="184">
        <f t="shared" si="0"/>
        <v>2178</v>
      </c>
      <c r="E22" s="185">
        <f t="shared" si="1"/>
        <v>202.34279934</v>
      </c>
      <c r="F22" s="185">
        <f t="shared" si="2"/>
        <v>208.71032557111303</v>
      </c>
      <c r="G22" s="185">
        <f t="shared" si="3"/>
        <v>208.71032557111303</v>
      </c>
      <c r="H22" s="185">
        <f t="shared" si="4"/>
        <v>10.435516278555651</v>
      </c>
      <c r="I22" s="185">
        <v>7.75</v>
      </c>
      <c r="J22" s="184">
        <v>6</v>
      </c>
      <c r="K22" s="185">
        <v>3.5</v>
      </c>
      <c r="L22" s="185">
        <f t="shared" si="5"/>
        <v>27.125</v>
      </c>
      <c r="M22" s="179">
        <f t="shared" si="6"/>
        <v>59</v>
      </c>
      <c r="N22" s="179">
        <f t="shared" si="7"/>
        <v>0</v>
      </c>
      <c r="O22" s="179">
        <f t="shared" si="8"/>
        <v>0</v>
      </c>
      <c r="P22" s="179">
        <f t="shared" si="9"/>
        <v>0</v>
      </c>
      <c r="Q22" s="179">
        <f t="shared" si="10"/>
        <v>0</v>
      </c>
      <c r="R22" s="179">
        <f t="shared" si="11"/>
        <v>208</v>
      </c>
      <c r="S22" s="179" t="s">
        <v>81</v>
      </c>
      <c r="T22" s="186">
        <v>0.19</v>
      </c>
      <c r="U22" s="185">
        <f t="shared" si="13"/>
        <v>0</v>
      </c>
    </row>
    <row r="23" spans="1:21" ht="17.25" customHeight="1" x14ac:dyDescent="0.2">
      <c r="A23" s="184">
        <v>1</v>
      </c>
      <c r="B23" s="184">
        <v>43560</v>
      </c>
      <c r="C23" s="184">
        <v>0</v>
      </c>
      <c r="D23" s="184">
        <f t="shared" si="0"/>
        <v>0</v>
      </c>
      <c r="E23" s="184">
        <f t="shared" si="1"/>
        <v>0</v>
      </c>
      <c r="F23" s="185">
        <f t="shared" si="2"/>
        <v>208.71032557111303</v>
      </c>
      <c r="G23" s="185">
        <f t="shared" si="3"/>
        <v>208.71032557111303</v>
      </c>
      <c r="H23" s="185">
        <f t="shared" si="4"/>
        <v>0</v>
      </c>
      <c r="I23" s="185">
        <v>7.75</v>
      </c>
      <c r="J23" s="184">
        <v>6</v>
      </c>
      <c r="K23" s="185">
        <v>3.5</v>
      </c>
      <c r="L23" s="185">
        <f t="shared" si="5"/>
        <v>27.125</v>
      </c>
      <c r="M23" s="179">
        <f t="shared" si="6"/>
        <v>59</v>
      </c>
      <c r="N23" s="179">
        <f t="shared" si="7"/>
        <v>0</v>
      </c>
      <c r="O23" s="179">
        <f t="shared" si="8"/>
        <v>0</v>
      </c>
      <c r="P23" s="179">
        <f t="shared" si="9"/>
        <v>0</v>
      </c>
      <c r="Q23" s="179">
        <f t="shared" si="10"/>
        <v>0</v>
      </c>
      <c r="R23" s="179">
        <f t="shared" si="11"/>
        <v>208</v>
      </c>
      <c r="S23" s="179" t="s">
        <v>81</v>
      </c>
      <c r="T23" s="186">
        <v>0.19</v>
      </c>
      <c r="U23" s="185">
        <f t="shared" si="13"/>
        <v>0</v>
      </c>
    </row>
    <row r="24" spans="1:21" ht="17.25" customHeight="1" x14ac:dyDescent="0.2">
      <c r="H24" s="185"/>
    </row>
  </sheetData>
  <mergeCells count="2">
    <mergeCell ref="F1:O1"/>
    <mergeCell ref="R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U27"/>
  <sheetViews>
    <sheetView workbookViewId="0">
      <selection activeCell="N21" sqref="N21"/>
    </sheetView>
  </sheetViews>
  <sheetFormatPr baseColWidth="10" defaultColWidth="8.83203125" defaultRowHeight="15" x14ac:dyDescent="0.2"/>
  <cols>
    <col min="1" max="1" width="3.6640625" bestFit="1" customWidth="1"/>
    <col min="2" max="2" width="8.83203125" bestFit="1" customWidth="1"/>
    <col min="3" max="3" width="6.1640625" bestFit="1" customWidth="1"/>
    <col min="4" max="4" width="8.83203125" bestFit="1" customWidth="1"/>
    <col min="5" max="5" width="6.1640625" bestFit="1" customWidth="1"/>
    <col min="6" max="6" width="8.83203125" bestFit="1" customWidth="1"/>
    <col min="7" max="7" width="7.6640625" bestFit="1" customWidth="1"/>
    <col min="8" max="8" width="8.83203125" bestFit="1" customWidth="1"/>
    <col min="9" max="10" width="5" bestFit="1" customWidth="1"/>
    <col min="11" max="11" width="7.6640625" bestFit="1" customWidth="1"/>
    <col min="12" max="12" width="8.83203125" bestFit="1" customWidth="1"/>
    <col min="13" max="13" width="5" bestFit="1" customWidth="1"/>
    <col min="14" max="18" width="12.5" bestFit="1" customWidth="1"/>
    <col min="19" max="19" width="11.6640625" bestFit="1" customWidth="1"/>
    <col min="20" max="20" width="12.5" style="4" bestFit="1" customWidth="1"/>
  </cols>
  <sheetData>
    <row r="1" spans="1:21" ht="17.25" customHeight="1" x14ac:dyDescent="0.2">
      <c r="A1" s="271" t="s">
        <v>42</v>
      </c>
      <c r="B1" s="272"/>
      <c r="C1" s="272"/>
      <c r="D1" s="272"/>
      <c r="E1" s="272"/>
      <c r="F1" s="272"/>
      <c r="G1" s="272"/>
      <c r="H1" s="272"/>
      <c r="I1" s="273"/>
    </row>
    <row r="2" spans="1:21" ht="17.25" customHeight="1" x14ac:dyDescent="0.2">
      <c r="A2" s="19"/>
      <c r="B2" s="268" t="s">
        <v>43</v>
      </c>
      <c r="C2" s="269"/>
      <c r="D2" s="269"/>
      <c r="E2" s="269"/>
      <c r="F2" s="269"/>
      <c r="G2" s="269"/>
      <c r="H2" s="270"/>
      <c r="I2" s="20"/>
    </row>
    <row r="3" spans="1:21" ht="17.25" customHeight="1" x14ac:dyDescent="0.2">
      <c r="A3" s="21"/>
      <c r="B3" s="16" t="s">
        <v>44</v>
      </c>
      <c r="C3" s="17" t="s">
        <v>45</v>
      </c>
      <c r="D3" s="17" t="s">
        <v>44</v>
      </c>
      <c r="E3" s="17" t="s">
        <v>45</v>
      </c>
      <c r="F3" s="17" t="s">
        <v>44</v>
      </c>
      <c r="G3" s="17" t="s">
        <v>46</v>
      </c>
      <c r="H3" s="18" t="s">
        <v>44</v>
      </c>
      <c r="I3" s="22"/>
    </row>
    <row r="4" spans="1:21" ht="17.25" customHeight="1" x14ac:dyDescent="0.2">
      <c r="A4" s="274" t="s">
        <v>47</v>
      </c>
      <c r="B4" s="23"/>
      <c r="C4" s="277" t="s">
        <v>48</v>
      </c>
      <c r="D4" s="24"/>
      <c r="E4" s="277" t="s">
        <v>48</v>
      </c>
      <c r="F4" s="24"/>
      <c r="G4" s="277" t="s">
        <v>48</v>
      </c>
      <c r="H4" s="25"/>
      <c r="I4" s="26" t="s">
        <v>49</v>
      </c>
    </row>
    <row r="5" spans="1:21" ht="17.25" customHeight="1" x14ac:dyDescent="0.2">
      <c r="A5" s="275"/>
      <c r="B5" s="28"/>
      <c r="C5" s="278"/>
      <c r="D5" s="29"/>
      <c r="E5" s="278"/>
      <c r="F5" s="29"/>
      <c r="G5" s="278"/>
      <c r="H5" s="30"/>
      <c r="I5" s="27" t="s">
        <v>49</v>
      </c>
    </row>
    <row r="6" spans="1:21" ht="17.25" customHeight="1" x14ac:dyDescent="0.2">
      <c r="A6" s="275"/>
      <c r="B6" s="28"/>
      <c r="C6" s="278"/>
      <c r="D6" s="29"/>
      <c r="E6" s="278"/>
      <c r="F6" s="29"/>
      <c r="G6" s="278"/>
      <c r="H6" s="30"/>
      <c r="I6" s="27" t="s">
        <v>49</v>
      </c>
      <c r="S6" s="189" t="s">
        <v>50</v>
      </c>
      <c r="T6" s="191" t="s">
        <v>295</v>
      </c>
      <c r="U6" s="192" t="s">
        <v>296</v>
      </c>
    </row>
    <row r="7" spans="1:21" ht="17.25" customHeight="1" x14ac:dyDescent="0.2">
      <c r="A7" s="275"/>
      <c r="B7" s="28"/>
      <c r="C7" s="278"/>
      <c r="D7" s="29"/>
      <c r="E7" s="278"/>
      <c r="F7" s="29"/>
      <c r="G7" s="278"/>
      <c r="H7" s="30"/>
      <c r="I7" s="27" t="s">
        <v>49</v>
      </c>
      <c r="S7" s="182" t="s">
        <v>51</v>
      </c>
      <c r="T7" s="190">
        <v>35801</v>
      </c>
      <c r="U7" s="184">
        <v>35769</v>
      </c>
    </row>
    <row r="8" spans="1:21" ht="15.75" customHeight="1" x14ac:dyDescent="0.2">
      <c r="A8" s="275"/>
      <c r="B8" s="28"/>
      <c r="C8" s="278"/>
      <c r="D8" s="29"/>
      <c r="E8" s="278"/>
      <c r="F8" s="29"/>
      <c r="G8" s="278"/>
      <c r="H8" s="30"/>
      <c r="I8" s="27" t="s">
        <v>49</v>
      </c>
      <c r="S8" s="182" t="s">
        <v>52</v>
      </c>
      <c r="T8" s="190">
        <v>35223</v>
      </c>
      <c r="U8" s="184">
        <v>35136</v>
      </c>
    </row>
    <row r="9" spans="1:21" ht="15.75" customHeight="1" x14ac:dyDescent="0.2">
      <c r="A9" s="275"/>
      <c r="B9" s="28"/>
      <c r="C9" s="278"/>
      <c r="D9" s="29"/>
      <c r="E9" s="278"/>
      <c r="F9" s="29"/>
      <c r="G9" s="278"/>
      <c r="H9" s="30"/>
      <c r="I9" s="27" t="s">
        <v>49</v>
      </c>
      <c r="S9" s="182" t="s">
        <v>53</v>
      </c>
      <c r="T9" s="190">
        <v>36117</v>
      </c>
      <c r="U9" s="184">
        <v>36040</v>
      </c>
    </row>
    <row r="10" spans="1:21" ht="15" customHeight="1" x14ac:dyDescent="0.2">
      <c r="A10" s="275"/>
      <c r="B10" s="28"/>
      <c r="C10" s="278"/>
      <c r="D10" s="29"/>
      <c r="E10" s="278"/>
      <c r="F10" s="29"/>
      <c r="G10" s="278"/>
      <c r="H10" s="30"/>
      <c r="I10" s="27" t="s">
        <v>49</v>
      </c>
      <c r="S10" s="182" t="s">
        <v>54</v>
      </c>
      <c r="T10" s="190">
        <v>36525</v>
      </c>
      <c r="U10" s="184">
        <v>36507</v>
      </c>
    </row>
    <row r="11" spans="1:21" ht="17.25" customHeight="1" x14ac:dyDescent="0.2">
      <c r="A11" s="275"/>
      <c r="B11" s="28"/>
      <c r="C11" s="278"/>
      <c r="D11" s="29"/>
      <c r="E11" s="278"/>
      <c r="F11" s="29"/>
      <c r="G11" s="278"/>
      <c r="H11" s="30"/>
      <c r="I11" s="27" t="s">
        <v>49</v>
      </c>
    </row>
    <row r="12" spans="1:21" ht="17.25" customHeight="1" x14ac:dyDescent="0.2">
      <c r="A12" s="275"/>
      <c r="B12" s="28"/>
      <c r="C12" s="278"/>
      <c r="D12" s="29"/>
      <c r="E12" s="278"/>
      <c r="F12" s="29"/>
      <c r="G12" s="278"/>
      <c r="H12" s="30"/>
      <c r="I12" s="27" t="s">
        <v>49</v>
      </c>
    </row>
    <row r="13" spans="1:21" ht="17.25" customHeight="1" x14ac:dyDescent="0.2">
      <c r="A13" s="275"/>
      <c r="B13" s="28"/>
      <c r="C13" s="278"/>
      <c r="D13" s="29"/>
      <c r="E13" s="278"/>
      <c r="F13" s="29"/>
      <c r="G13" s="278"/>
      <c r="H13" s="30"/>
      <c r="I13" s="27" t="s">
        <v>49</v>
      </c>
    </row>
    <row r="14" spans="1:21" ht="17.25" customHeight="1" x14ac:dyDescent="0.2">
      <c r="A14" s="275"/>
      <c r="B14" s="28"/>
      <c r="C14" s="278"/>
      <c r="D14" s="29"/>
      <c r="E14" s="278"/>
      <c r="F14" s="29"/>
      <c r="G14" s="278"/>
      <c r="H14" s="30"/>
      <c r="I14" s="27" t="s">
        <v>49</v>
      </c>
    </row>
    <row r="15" spans="1:21" ht="17.25" customHeight="1" x14ac:dyDescent="0.2">
      <c r="A15" s="275"/>
      <c r="B15" s="28"/>
      <c r="C15" s="278"/>
      <c r="D15" s="29"/>
      <c r="E15" s="278"/>
      <c r="F15" s="29"/>
      <c r="G15" s="278"/>
      <c r="H15" s="30"/>
      <c r="I15" s="27" t="s">
        <v>49</v>
      </c>
    </row>
    <row r="16" spans="1:21" ht="17.25" customHeight="1" x14ac:dyDescent="0.2">
      <c r="A16" s="275"/>
      <c r="B16" s="28"/>
      <c r="C16" s="278"/>
      <c r="D16" s="29"/>
      <c r="E16" s="278"/>
      <c r="F16" s="29"/>
      <c r="G16" s="278"/>
      <c r="H16" s="30"/>
      <c r="I16" s="27" t="s">
        <v>49</v>
      </c>
    </row>
    <row r="17" spans="1:9" ht="17.25" customHeight="1" x14ac:dyDescent="0.2">
      <c r="A17" s="275"/>
      <c r="B17" s="28"/>
      <c r="C17" s="278"/>
      <c r="D17" s="29"/>
      <c r="E17" s="278"/>
      <c r="F17" s="29"/>
      <c r="G17" s="278"/>
      <c r="H17" s="30"/>
      <c r="I17" s="27" t="s">
        <v>49</v>
      </c>
    </row>
    <row r="18" spans="1:9" ht="17.25" customHeight="1" x14ac:dyDescent="0.2">
      <c r="A18" s="275"/>
      <c r="B18" s="28"/>
      <c r="C18" s="278"/>
      <c r="D18" s="29"/>
      <c r="E18" s="278"/>
      <c r="F18" s="29"/>
      <c r="G18" s="278"/>
      <c r="H18" s="30"/>
      <c r="I18" s="27" t="s">
        <v>49</v>
      </c>
    </row>
    <row r="19" spans="1:9" ht="17.25" customHeight="1" x14ac:dyDescent="0.2">
      <c r="A19" s="276"/>
      <c r="B19" s="34"/>
      <c r="C19" s="278"/>
      <c r="D19" s="35"/>
      <c r="E19" s="278"/>
      <c r="F19" s="35"/>
      <c r="G19" s="278"/>
      <c r="H19" s="36"/>
      <c r="I19" s="33" t="s">
        <v>49</v>
      </c>
    </row>
    <row r="20" spans="1:9" ht="17.25" customHeight="1" x14ac:dyDescent="0.2">
      <c r="A20" s="37"/>
      <c r="B20" s="38" t="s">
        <v>55</v>
      </c>
      <c r="C20" s="39"/>
      <c r="D20" s="39" t="s">
        <v>55</v>
      </c>
      <c r="E20" s="39"/>
      <c r="F20" s="39" t="s">
        <v>55</v>
      </c>
      <c r="G20" s="39"/>
      <c r="H20" s="40" t="s">
        <v>56</v>
      </c>
      <c r="I20" s="37"/>
    </row>
    <row r="21" spans="1:9" ht="17.25" customHeight="1" x14ac:dyDescent="0.2">
      <c r="A21" s="263" t="s">
        <v>57</v>
      </c>
      <c r="B21" s="264"/>
      <c r="C21" s="264"/>
      <c r="D21" s="264"/>
      <c r="E21" s="264"/>
      <c r="F21" s="264"/>
      <c r="G21" s="264"/>
      <c r="H21" s="264"/>
      <c r="I21" s="265"/>
    </row>
    <row r="22" spans="1:9" ht="17.25" customHeight="1" x14ac:dyDescent="0.2">
      <c r="A22" s="266" t="s">
        <v>58</v>
      </c>
      <c r="B22" s="257"/>
      <c r="C22" s="257"/>
      <c r="D22" s="257"/>
      <c r="E22" s="257"/>
      <c r="F22" s="257"/>
      <c r="G22" s="257"/>
      <c r="H22" s="257"/>
      <c r="I22" s="267"/>
    </row>
    <row r="23" spans="1:9" ht="17.25" customHeight="1" x14ac:dyDescent="0.2">
      <c r="A23" s="266" t="s">
        <v>59</v>
      </c>
      <c r="B23" s="257"/>
      <c r="C23" s="257"/>
      <c r="D23" s="257"/>
      <c r="E23" s="257"/>
      <c r="F23" s="257"/>
      <c r="G23" s="257"/>
      <c r="H23" s="257"/>
      <c r="I23" s="267"/>
    </row>
    <row r="24" spans="1:9" ht="17.25" customHeight="1" x14ac:dyDescent="0.2">
      <c r="A24" s="268" t="s">
        <v>60</v>
      </c>
      <c r="B24" s="269"/>
      <c r="C24" s="269"/>
      <c r="D24" s="269"/>
      <c r="E24" s="269"/>
      <c r="F24" s="269"/>
      <c r="G24" s="269"/>
      <c r="H24" s="269"/>
      <c r="I24" s="270"/>
    </row>
    <row r="25" spans="1:9" ht="17.25" customHeight="1" x14ac:dyDescent="0.2"/>
    <row r="26" spans="1:9" ht="17.25" customHeight="1" x14ac:dyDescent="0.2"/>
    <row r="27" spans="1:9" ht="17.25" customHeight="1" x14ac:dyDescent="0.2">
      <c r="D27" s="11"/>
    </row>
  </sheetData>
  <mergeCells count="10">
    <mergeCell ref="A21:I21"/>
    <mergeCell ref="A22:I22"/>
    <mergeCell ref="A23:I23"/>
    <mergeCell ref="A24:I24"/>
    <mergeCell ref="A1:I1"/>
    <mergeCell ref="B2:H2"/>
    <mergeCell ref="A4:A19"/>
    <mergeCell ref="C4:C19"/>
    <mergeCell ref="E4:E19"/>
    <mergeCell ref="G4:G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110"/>
  <sheetViews>
    <sheetView workbookViewId="0"/>
  </sheetViews>
  <sheetFormatPr baseColWidth="10" defaultColWidth="8.83203125" defaultRowHeight="15" x14ac:dyDescent="0.2"/>
  <cols>
    <col min="1" max="1" width="36.1640625" style="14" bestFit="1" customWidth="1"/>
    <col min="2" max="2" width="24.6640625" style="14" bestFit="1" customWidth="1"/>
    <col min="3" max="3" width="12.6640625" style="15" bestFit="1" customWidth="1"/>
    <col min="4" max="4" width="18.5" style="13" bestFit="1" customWidth="1"/>
    <col min="5" max="5" width="17.6640625" style="13" bestFit="1" customWidth="1"/>
  </cols>
  <sheetData>
    <row r="1" spans="1:5" ht="17.25" customHeight="1" x14ac:dyDescent="0.2">
      <c r="A1" s="11" t="s">
        <v>14</v>
      </c>
      <c r="B1" s="11" t="s">
        <v>15</v>
      </c>
      <c r="C1" s="12" t="s">
        <v>16</v>
      </c>
      <c r="D1" s="12" t="s">
        <v>17</v>
      </c>
      <c r="E1" s="12" t="s">
        <v>18</v>
      </c>
    </row>
    <row r="2" spans="1:5" ht="17.25" customHeight="1" x14ac:dyDescent="0.2">
      <c r="A2" s="11" t="s">
        <v>19</v>
      </c>
      <c r="B2" s="11" t="s">
        <v>20</v>
      </c>
      <c r="C2" s="12">
        <v>0.11</v>
      </c>
      <c r="D2" s="12">
        <v>4.5999999999999996</v>
      </c>
      <c r="E2" s="12">
        <v>1.53</v>
      </c>
    </row>
    <row r="3" spans="1:5" ht="17.25" customHeight="1" x14ac:dyDescent="0.2">
      <c r="A3" s="11" t="s">
        <v>19</v>
      </c>
      <c r="B3" s="11" t="s">
        <v>21</v>
      </c>
      <c r="C3" s="12">
        <v>0.15</v>
      </c>
      <c r="D3" s="12">
        <v>4.5999999999999996</v>
      </c>
      <c r="E3" s="12">
        <v>1.53</v>
      </c>
    </row>
    <row r="4" spans="1:5" ht="17.25" customHeight="1" x14ac:dyDescent="0.2">
      <c r="A4" s="11" t="s">
        <v>19</v>
      </c>
      <c r="B4" s="11" t="s">
        <v>22</v>
      </c>
      <c r="C4" s="12">
        <v>0.05</v>
      </c>
      <c r="D4" s="12">
        <v>4.5999999999999996</v>
      </c>
      <c r="E4" s="12">
        <v>1.53</v>
      </c>
    </row>
    <row r="5" spans="1:5" ht="17.25" customHeight="1" x14ac:dyDescent="0.2">
      <c r="A5" s="11" t="s">
        <v>19</v>
      </c>
      <c r="B5" s="11" t="s">
        <v>23</v>
      </c>
      <c r="C5" s="12">
        <v>0.03</v>
      </c>
      <c r="D5" s="12">
        <v>4.5999999999999996</v>
      </c>
      <c r="E5" s="12">
        <v>1.53</v>
      </c>
    </row>
    <row r="6" spans="1:5" ht="17.25" customHeight="1" x14ac:dyDescent="0.2">
      <c r="A6" s="11" t="s">
        <v>19</v>
      </c>
      <c r="B6" s="11" t="s">
        <v>24</v>
      </c>
      <c r="C6" s="12">
        <v>0.02</v>
      </c>
      <c r="D6" s="12">
        <v>4.5999999999999996</v>
      </c>
      <c r="E6" s="12">
        <v>1.53</v>
      </c>
    </row>
    <row r="7" spans="1:5" ht="17.25" customHeight="1" x14ac:dyDescent="0.2">
      <c r="A7" s="11" t="s">
        <v>19</v>
      </c>
      <c r="B7" s="11" t="s">
        <v>25</v>
      </c>
      <c r="C7" s="12">
        <v>0.05</v>
      </c>
      <c r="D7" s="12">
        <v>4.5999999999999996</v>
      </c>
      <c r="E7" s="12">
        <v>1.53</v>
      </c>
    </row>
    <row r="8" spans="1:5" ht="17.25" customHeight="1" x14ac:dyDescent="0.2">
      <c r="A8" s="11" t="s">
        <v>19</v>
      </c>
      <c r="B8" s="11" t="s">
        <v>26</v>
      </c>
      <c r="C8" s="12">
        <v>0.12</v>
      </c>
      <c r="D8" s="12">
        <v>4.5999999999999996</v>
      </c>
      <c r="E8" s="12">
        <v>1.53</v>
      </c>
    </row>
    <row r="9" spans="1:5" ht="17.25" customHeight="1" x14ac:dyDescent="0.2">
      <c r="A9" s="11" t="s">
        <v>19</v>
      </c>
      <c r="B9" s="11" t="s">
        <v>27</v>
      </c>
      <c r="C9" s="12">
        <v>0.18</v>
      </c>
      <c r="D9" s="12">
        <v>4.5999999999999996</v>
      </c>
      <c r="E9" s="12">
        <v>1.53</v>
      </c>
    </row>
    <row r="10" spans="1:5" ht="17.25" customHeight="1" x14ac:dyDescent="0.2">
      <c r="A10" s="11" t="s">
        <v>19</v>
      </c>
      <c r="B10" s="11" t="s">
        <v>28</v>
      </c>
      <c r="C10" s="12">
        <v>0.24</v>
      </c>
      <c r="D10" s="12">
        <v>4.5999999999999996</v>
      </c>
      <c r="E10" s="12">
        <v>1.53</v>
      </c>
    </row>
    <row r="11" spans="1:5" ht="17.25" customHeight="1" x14ac:dyDescent="0.2">
      <c r="A11" s="11" t="s">
        <v>19</v>
      </c>
      <c r="B11" s="11" t="s">
        <v>29</v>
      </c>
      <c r="C11" s="12">
        <v>0.11</v>
      </c>
      <c r="D11" s="12">
        <v>4.5999999999999996</v>
      </c>
      <c r="E11" s="12">
        <v>1.53</v>
      </c>
    </row>
    <row r="12" spans="1:5" ht="17.25" customHeight="1" x14ac:dyDescent="0.2">
      <c r="A12" s="11" t="s">
        <v>19</v>
      </c>
      <c r="B12" s="11" t="s">
        <v>30</v>
      </c>
      <c r="C12" s="12">
        <v>0.08</v>
      </c>
      <c r="D12" s="12">
        <v>4.5999999999999996</v>
      </c>
      <c r="E12" s="12">
        <v>1.53</v>
      </c>
    </row>
    <row r="13" spans="1:5" ht="17.25" customHeight="1" x14ac:dyDescent="0.2">
      <c r="A13" s="11" t="s">
        <v>19</v>
      </c>
      <c r="B13" s="11" t="s">
        <v>31</v>
      </c>
      <c r="C13" s="12">
        <v>0.4</v>
      </c>
      <c r="D13" s="12">
        <v>4.5999999999999996</v>
      </c>
      <c r="E13" s="12">
        <v>1.53</v>
      </c>
    </row>
    <row r="14" spans="1:5" ht="17.25" customHeight="1" x14ac:dyDescent="0.2">
      <c r="A14" s="11" t="s">
        <v>32</v>
      </c>
      <c r="B14" s="11" t="s">
        <v>20</v>
      </c>
      <c r="C14" s="12">
        <v>0.12</v>
      </c>
      <c r="D14" s="12">
        <v>4.5999999999999996</v>
      </c>
      <c r="E14" s="12">
        <v>1.66</v>
      </c>
    </row>
    <row r="15" spans="1:5" ht="17.25" customHeight="1" x14ac:dyDescent="0.2">
      <c r="A15" s="11" t="s">
        <v>32</v>
      </c>
      <c r="B15" s="11" t="s">
        <v>21</v>
      </c>
      <c r="C15" s="12">
        <v>0.16</v>
      </c>
      <c r="D15" s="12">
        <v>4.5999999999999996</v>
      </c>
      <c r="E15" s="12">
        <v>1.66</v>
      </c>
    </row>
    <row r="16" spans="1:5" ht="17.25" customHeight="1" x14ac:dyDescent="0.2">
      <c r="A16" s="11" t="s">
        <v>32</v>
      </c>
      <c r="B16" s="11" t="s">
        <v>22</v>
      </c>
      <c r="C16" s="12">
        <v>0.05</v>
      </c>
      <c r="D16" s="12">
        <v>4.5999999999999996</v>
      </c>
      <c r="E16" s="12">
        <v>1.66</v>
      </c>
    </row>
    <row r="17" spans="1:5" ht="17.25" customHeight="1" x14ac:dyDescent="0.2">
      <c r="A17" s="11" t="s">
        <v>32</v>
      </c>
      <c r="B17" s="11" t="s">
        <v>23</v>
      </c>
      <c r="C17" s="12">
        <v>0.03</v>
      </c>
      <c r="D17" s="12">
        <v>4.5999999999999996</v>
      </c>
      <c r="E17" s="12">
        <v>1.66</v>
      </c>
    </row>
    <row r="18" spans="1:5" ht="17.25" customHeight="1" x14ac:dyDescent="0.2">
      <c r="A18" s="11" t="s">
        <v>32</v>
      </c>
      <c r="B18" s="11" t="s">
        <v>24</v>
      </c>
      <c r="C18" s="12">
        <v>0.02</v>
      </c>
      <c r="D18" s="12">
        <v>4.5999999999999996</v>
      </c>
      <c r="E18" s="12">
        <v>1.66</v>
      </c>
    </row>
    <row r="19" spans="1:5" ht="17.25" customHeight="1" x14ac:dyDescent="0.2">
      <c r="A19" s="11" t="s">
        <v>32</v>
      </c>
      <c r="B19" s="11" t="s">
        <v>25</v>
      </c>
      <c r="C19" s="12">
        <v>0.05</v>
      </c>
      <c r="D19" s="12">
        <v>4.5999999999999996</v>
      </c>
      <c r="E19" s="12">
        <v>1.66</v>
      </c>
    </row>
    <row r="20" spans="1:5" ht="17.25" customHeight="1" x14ac:dyDescent="0.2">
      <c r="A20" s="11" t="s">
        <v>32</v>
      </c>
      <c r="B20" s="11" t="s">
        <v>26</v>
      </c>
      <c r="C20" s="12">
        <v>0.14000000000000001</v>
      </c>
      <c r="D20" s="12">
        <v>4.5999999999999996</v>
      </c>
      <c r="E20" s="12">
        <v>1.66</v>
      </c>
    </row>
    <row r="21" spans="1:5" ht="17.25" customHeight="1" x14ac:dyDescent="0.2">
      <c r="A21" s="11" t="s">
        <v>32</v>
      </c>
      <c r="B21" s="11" t="s">
        <v>27</v>
      </c>
      <c r="C21" s="12">
        <v>0.21</v>
      </c>
      <c r="D21" s="12">
        <v>4.5999999999999996</v>
      </c>
      <c r="E21" s="12">
        <v>1.66</v>
      </c>
    </row>
    <row r="22" spans="1:5" ht="17.25" customHeight="1" x14ac:dyDescent="0.2">
      <c r="A22" s="11" t="s">
        <v>32</v>
      </c>
      <c r="B22" s="11" t="s">
        <v>28</v>
      </c>
      <c r="C22" s="12">
        <v>0.24</v>
      </c>
      <c r="D22" s="12">
        <v>4.5999999999999996</v>
      </c>
      <c r="E22" s="12">
        <v>1.66</v>
      </c>
    </row>
    <row r="23" spans="1:5" ht="17.25" customHeight="1" x14ac:dyDescent="0.2">
      <c r="A23" s="11" t="s">
        <v>32</v>
      </c>
      <c r="B23" s="11" t="s">
        <v>29</v>
      </c>
      <c r="C23" s="12">
        <v>0.16</v>
      </c>
      <c r="D23" s="12">
        <v>4.5999999999999996</v>
      </c>
      <c r="E23" s="12">
        <v>1.66</v>
      </c>
    </row>
    <row r="24" spans="1:5" ht="17.25" customHeight="1" x14ac:dyDescent="0.2">
      <c r="A24" s="11" t="s">
        <v>32</v>
      </c>
      <c r="B24" s="11" t="s">
        <v>30</v>
      </c>
      <c r="C24" s="12">
        <v>0.08</v>
      </c>
      <c r="D24" s="12">
        <v>4.5999999999999996</v>
      </c>
      <c r="E24" s="12">
        <v>1.66</v>
      </c>
    </row>
    <row r="25" spans="1:5" ht="17.25" customHeight="1" x14ac:dyDescent="0.2">
      <c r="A25" s="11" t="s">
        <v>32</v>
      </c>
      <c r="B25" s="11" t="s">
        <v>31</v>
      </c>
      <c r="C25" s="12">
        <v>0.4</v>
      </c>
      <c r="D25" s="12">
        <v>4.5999999999999996</v>
      </c>
      <c r="E25" s="12">
        <v>1.66</v>
      </c>
    </row>
    <row r="26" spans="1:5" ht="17.25" customHeight="1" x14ac:dyDescent="0.2">
      <c r="A26" s="11" t="s">
        <v>33</v>
      </c>
      <c r="B26" s="11" t="s">
        <v>20</v>
      </c>
      <c r="C26" s="12">
        <v>0.12</v>
      </c>
      <c r="D26" s="12">
        <v>4.5999999999999996</v>
      </c>
      <c r="E26" s="12">
        <v>1.6</v>
      </c>
    </row>
    <row r="27" spans="1:5" ht="17.25" customHeight="1" x14ac:dyDescent="0.2">
      <c r="A27" s="11" t="s">
        <v>33</v>
      </c>
      <c r="B27" s="11" t="s">
        <v>21</v>
      </c>
      <c r="C27" s="12">
        <v>0.15</v>
      </c>
      <c r="D27" s="12">
        <v>4.5999999999999996</v>
      </c>
      <c r="E27" s="12">
        <v>1.6</v>
      </c>
    </row>
    <row r="28" spans="1:5" ht="17.25" customHeight="1" x14ac:dyDescent="0.2">
      <c r="A28" s="11" t="s">
        <v>33</v>
      </c>
      <c r="B28" s="11" t="s">
        <v>22</v>
      </c>
      <c r="C28" s="12">
        <v>0.05</v>
      </c>
      <c r="D28" s="12">
        <v>4.5999999999999996</v>
      </c>
      <c r="E28" s="12">
        <v>1.6</v>
      </c>
    </row>
    <row r="29" spans="1:5" ht="17.25" customHeight="1" x14ac:dyDescent="0.2">
      <c r="A29" s="11" t="s">
        <v>33</v>
      </c>
      <c r="B29" s="11" t="s">
        <v>23</v>
      </c>
      <c r="C29" s="12">
        <v>0.03</v>
      </c>
      <c r="D29" s="12">
        <v>4.5999999999999996</v>
      </c>
      <c r="E29" s="12">
        <v>1.6</v>
      </c>
    </row>
    <row r="30" spans="1:5" ht="17.25" customHeight="1" x14ac:dyDescent="0.2">
      <c r="A30" s="11" t="s">
        <v>33</v>
      </c>
      <c r="B30" s="11" t="s">
        <v>24</v>
      </c>
      <c r="C30" s="12">
        <v>0.02</v>
      </c>
      <c r="D30" s="12">
        <v>4.5999999999999996</v>
      </c>
      <c r="E30" s="12">
        <v>1.6</v>
      </c>
    </row>
    <row r="31" spans="1:5" ht="17.25" customHeight="1" x14ac:dyDescent="0.2">
      <c r="A31" s="11" t="s">
        <v>33</v>
      </c>
      <c r="B31" s="11" t="s">
        <v>25</v>
      </c>
      <c r="C31" s="12">
        <v>0.05</v>
      </c>
      <c r="D31" s="12">
        <v>4.5999999999999996</v>
      </c>
      <c r="E31" s="12">
        <v>1.6</v>
      </c>
    </row>
    <row r="32" spans="1:5" ht="17.25" customHeight="1" x14ac:dyDescent="0.2">
      <c r="A32" s="11" t="s">
        <v>33</v>
      </c>
      <c r="B32" s="11" t="s">
        <v>26</v>
      </c>
      <c r="C32" s="12">
        <v>0.13</v>
      </c>
      <c r="D32" s="12">
        <v>4.5999999999999996</v>
      </c>
      <c r="E32" s="12">
        <v>1.6</v>
      </c>
    </row>
    <row r="33" spans="1:5" ht="17.25" customHeight="1" x14ac:dyDescent="0.2">
      <c r="A33" s="11" t="s">
        <v>33</v>
      </c>
      <c r="B33" s="11" t="s">
        <v>27</v>
      </c>
      <c r="C33" s="12">
        <v>0.19</v>
      </c>
      <c r="D33" s="12">
        <v>4.5999999999999996</v>
      </c>
      <c r="E33" s="12">
        <v>1.6</v>
      </c>
    </row>
    <row r="34" spans="1:5" ht="17.25" customHeight="1" x14ac:dyDescent="0.2">
      <c r="A34" s="11" t="s">
        <v>33</v>
      </c>
      <c r="B34" s="11" t="s">
        <v>28</v>
      </c>
      <c r="C34" s="12">
        <v>0.26</v>
      </c>
      <c r="D34" s="12">
        <v>4.5999999999999996</v>
      </c>
      <c r="E34" s="12">
        <v>1.6</v>
      </c>
    </row>
    <row r="35" spans="1:5" ht="17.25" customHeight="1" x14ac:dyDescent="0.2">
      <c r="A35" s="11" t="s">
        <v>33</v>
      </c>
      <c r="B35" s="11" t="s">
        <v>29</v>
      </c>
      <c r="C35" s="12">
        <v>0.12</v>
      </c>
      <c r="D35" s="12">
        <v>4.5999999999999996</v>
      </c>
      <c r="E35" s="12">
        <v>1.6</v>
      </c>
    </row>
    <row r="36" spans="1:5" ht="17.25" customHeight="1" x14ac:dyDescent="0.2">
      <c r="A36" s="11" t="s">
        <v>33</v>
      </c>
      <c r="B36" s="11" t="s">
        <v>30</v>
      </c>
      <c r="C36" s="12">
        <v>0.08</v>
      </c>
      <c r="D36" s="12">
        <v>4.5999999999999996</v>
      </c>
      <c r="E36" s="12">
        <v>1.6</v>
      </c>
    </row>
    <row r="37" spans="1:5" ht="17.25" customHeight="1" x14ac:dyDescent="0.2">
      <c r="A37" s="11" t="s">
        <v>33</v>
      </c>
      <c r="B37" s="11" t="s">
        <v>31</v>
      </c>
      <c r="C37" s="12">
        <v>0.4</v>
      </c>
      <c r="D37" s="12">
        <v>4.5999999999999996</v>
      </c>
      <c r="E37" s="12">
        <v>1.6</v>
      </c>
    </row>
    <row r="38" spans="1:5" ht="17.25" customHeight="1" x14ac:dyDescent="0.2">
      <c r="A38" s="11" t="s">
        <v>34</v>
      </c>
      <c r="B38" s="11" t="s">
        <v>20</v>
      </c>
      <c r="C38" s="12">
        <v>0.13</v>
      </c>
      <c r="D38" s="12">
        <v>4.5999999999999996</v>
      </c>
      <c r="E38" s="12">
        <v>1.73</v>
      </c>
    </row>
    <row r="39" spans="1:5" ht="17.25" customHeight="1" x14ac:dyDescent="0.2">
      <c r="A39" s="11" t="s">
        <v>34</v>
      </c>
      <c r="B39" s="11" t="s">
        <v>21</v>
      </c>
      <c r="C39" s="12">
        <v>0.17</v>
      </c>
      <c r="D39" s="12">
        <v>4.5999999999999996</v>
      </c>
      <c r="E39" s="12">
        <v>1.73</v>
      </c>
    </row>
    <row r="40" spans="1:5" ht="17.25" customHeight="1" x14ac:dyDescent="0.2">
      <c r="A40" s="11" t="s">
        <v>34</v>
      </c>
      <c r="B40" s="11" t="s">
        <v>22</v>
      </c>
      <c r="C40" s="12">
        <v>0.06</v>
      </c>
      <c r="D40" s="12">
        <v>4.5999999999999996</v>
      </c>
      <c r="E40" s="12">
        <v>1.73</v>
      </c>
    </row>
    <row r="41" spans="1:5" ht="17.25" customHeight="1" x14ac:dyDescent="0.2">
      <c r="A41" s="11" t="s">
        <v>34</v>
      </c>
      <c r="B41" s="11" t="s">
        <v>23</v>
      </c>
      <c r="C41" s="12">
        <v>0.03</v>
      </c>
      <c r="D41" s="12">
        <v>4.5999999999999996</v>
      </c>
      <c r="E41" s="12">
        <v>1.73</v>
      </c>
    </row>
    <row r="42" spans="1:5" ht="17.25" customHeight="1" x14ac:dyDescent="0.2">
      <c r="A42" s="11" t="s">
        <v>34</v>
      </c>
      <c r="B42" s="11" t="s">
        <v>24</v>
      </c>
      <c r="C42" s="12">
        <v>0.02</v>
      </c>
      <c r="D42" s="12">
        <v>4.5999999999999996</v>
      </c>
      <c r="E42" s="12">
        <v>1.73</v>
      </c>
    </row>
    <row r="43" spans="1:5" ht="17.25" customHeight="1" x14ac:dyDescent="0.2">
      <c r="A43" s="11" t="s">
        <v>34</v>
      </c>
      <c r="B43" s="11" t="s">
        <v>25</v>
      </c>
      <c r="C43" s="12">
        <v>0.06</v>
      </c>
      <c r="D43" s="12">
        <v>4.5999999999999996</v>
      </c>
      <c r="E43" s="12">
        <v>1.73</v>
      </c>
    </row>
    <row r="44" spans="1:5" ht="17.25" customHeight="1" x14ac:dyDescent="0.2">
      <c r="A44" s="11" t="s">
        <v>34</v>
      </c>
      <c r="B44" s="11" t="s">
        <v>26</v>
      </c>
      <c r="C44" s="12">
        <v>0.15</v>
      </c>
      <c r="D44" s="12">
        <v>4.5999999999999996</v>
      </c>
      <c r="E44" s="12">
        <v>1.73</v>
      </c>
    </row>
    <row r="45" spans="1:5" ht="17.25" customHeight="1" x14ac:dyDescent="0.2">
      <c r="A45" s="11" t="s">
        <v>34</v>
      </c>
      <c r="B45" s="11" t="s">
        <v>27</v>
      </c>
      <c r="C45" s="12">
        <v>0.22</v>
      </c>
      <c r="D45" s="12">
        <v>4.5999999999999996</v>
      </c>
      <c r="E45" s="12">
        <v>1.73</v>
      </c>
    </row>
    <row r="46" spans="1:5" ht="17.25" customHeight="1" x14ac:dyDescent="0.2">
      <c r="A46" s="11" t="s">
        <v>34</v>
      </c>
      <c r="B46" s="11" t="s">
        <v>28</v>
      </c>
      <c r="C46" s="12">
        <v>0.26</v>
      </c>
      <c r="D46" s="12">
        <v>4.5999999999999996</v>
      </c>
      <c r="E46" s="12">
        <v>1.73</v>
      </c>
    </row>
    <row r="47" spans="1:5" ht="17.25" customHeight="1" x14ac:dyDescent="0.2">
      <c r="A47" s="11" t="s">
        <v>34</v>
      </c>
      <c r="B47" s="11" t="s">
        <v>29</v>
      </c>
      <c r="C47" s="12">
        <v>0.17</v>
      </c>
      <c r="D47" s="12">
        <v>4.5999999999999996</v>
      </c>
      <c r="E47" s="12">
        <v>1.73</v>
      </c>
    </row>
    <row r="48" spans="1:5" ht="17.25" customHeight="1" x14ac:dyDescent="0.2">
      <c r="A48" s="11" t="s">
        <v>34</v>
      </c>
      <c r="B48" s="11" t="s">
        <v>30</v>
      </c>
      <c r="C48" s="12">
        <v>0.08</v>
      </c>
      <c r="D48" s="12">
        <v>4.5999999999999996</v>
      </c>
      <c r="E48" s="12">
        <v>1.73</v>
      </c>
    </row>
    <row r="49" spans="1:5" ht="17.25" customHeight="1" x14ac:dyDescent="0.2">
      <c r="A49" s="11" t="s">
        <v>34</v>
      </c>
      <c r="B49" s="11" t="s">
        <v>31</v>
      </c>
      <c r="C49" s="12">
        <v>0.4</v>
      </c>
      <c r="D49" s="12">
        <v>4.5999999999999996</v>
      </c>
      <c r="E49" s="12">
        <v>1.73</v>
      </c>
    </row>
    <row r="50" spans="1:5" ht="17.25" customHeight="1" x14ac:dyDescent="0.2">
      <c r="A50" s="11" t="s">
        <v>35</v>
      </c>
      <c r="B50" s="11" t="s">
        <v>20</v>
      </c>
      <c r="C50" s="12">
        <v>0.12</v>
      </c>
      <c r="D50" s="12">
        <v>4.5999999999999996</v>
      </c>
      <c r="E50" s="12">
        <v>1.63</v>
      </c>
    </row>
    <row r="51" spans="1:5" ht="17.25" customHeight="1" x14ac:dyDescent="0.2">
      <c r="A51" s="11" t="s">
        <v>35</v>
      </c>
      <c r="B51" s="11" t="s">
        <v>21</v>
      </c>
      <c r="C51" s="12">
        <v>0.16</v>
      </c>
      <c r="D51" s="12">
        <v>4.5999999999999996</v>
      </c>
      <c r="E51" s="12">
        <v>1.63</v>
      </c>
    </row>
    <row r="52" spans="1:5" ht="17.25" customHeight="1" x14ac:dyDescent="0.2">
      <c r="A52" s="11" t="s">
        <v>35</v>
      </c>
      <c r="B52" s="11" t="s">
        <v>22</v>
      </c>
      <c r="C52" s="12">
        <v>0.05</v>
      </c>
      <c r="D52" s="12">
        <v>4.5999999999999996</v>
      </c>
      <c r="E52" s="12">
        <v>1.63</v>
      </c>
    </row>
    <row r="53" spans="1:5" ht="17.25" customHeight="1" x14ac:dyDescent="0.2">
      <c r="A53" s="11" t="s">
        <v>35</v>
      </c>
      <c r="B53" s="11" t="s">
        <v>23</v>
      </c>
      <c r="C53" s="12">
        <v>0.03</v>
      </c>
      <c r="D53" s="12">
        <v>4.5999999999999996</v>
      </c>
      <c r="E53" s="12">
        <v>1.63</v>
      </c>
    </row>
    <row r="54" spans="1:5" ht="17.25" customHeight="1" x14ac:dyDescent="0.2">
      <c r="A54" s="11" t="s">
        <v>35</v>
      </c>
      <c r="B54" s="11" t="s">
        <v>24</v>
      </c>
      <c r="C54" s="12">
        <v>0.02</v>
      </c>
      <c r="D54" s="12">
        <v>4.5999999999999996</v>
      </c>
      <c r="E54" s="12">
        <v>1.63</v>
      </c>
    </row>
    <row r="55" spans="1:5" ht="17.25" customHeight="1" x14ac:dyDescent="0.2">
      <c r="A55" s="11" t="s">
        <v>35</v>
      </c>
      <c r="B55" s="11" t="s">
        <v>25</v>
      </c>
      <c r="C55" s="12">
        <v>0.05</v>
      </c>
      <c r="D55" s="12">
        <v>4.5999999999999996</v>
      </c>
      <c r="E55" s="12">
        <v>1.63</v>
      </c>
    </row>
    <row r="56" spans="1:5" ht="17.25" customHeight="1" x14ac:dyDescent="0.2">
      <c r="A56" s="11" t="s">
        <v>35</v>
      </c>
      <c r="B56" s="11" t="s">
        <v>26</v>
      </c>
      <c r="C56" s="12">
        <v>0.14000000000000001</v>
      </c>
      <c r="D56" s="12">
        <v>4.5999999999999996</v>
      </c>
      <c r="E56" s="12">
        <v>1.63</v>
      </c>
    </row>
    <row r="57" spans="1:5" ht="17.25" customHeight="1" x14ac:dyDescent="0.2">
      <c r="A57" s="11" t="s">
        <v>35</v>
      </c>
      <c r="B57" s="11" t="s">
        <v>27</v>
      </c>
      <c r="C57" s="12">
        <v>0.23</v>
      </c>
      <c r="D57" s="12">
        <v>4.5999999999999996</v>
      </c>
      <c r="E57" s="12">
        <v>1.63</v>
      </c>
    </row>
    <row r="58" spans="1:5" ht="17.25" customHeight="1" x14ac:dyDescent="0.2">
      <c r="A58" s="11" t="s">
        <v>35</v>
      </c>
      <c r="B58" s="11" t="s">
        <v>28</v>
      </c>
      <c r="C58" s="12">
        <v>0.24</v>
      </c>
      <c r="D58" s="12">
        <v>4.5999999999999996</v>
      </c>
      <c r="E58" s="12">
        <v>1.63</v>
      </c>
    </row>
    <row r="59" spans="1:5" ht="17.25" customHeight="1" x14ac:dyDescent="0.2">
      <c r="A59" s="11" t="s">
        <v>35</v>
      </c>
      <c r="B59" s="11" t="s">
        <v>29</v>
      </c>
      <c r="C59" s="12">
        <v>0.12</v>
      </c>
      <c r="D59" s="12">
        <v>4.5999999999999996</v>
      </c>
      <c r="E59" s="12">
        <v>1.63</v>
      </c>
    </row>
    <row r="60" spans="1:5" ht="17.25" customHeight="1" x14ac:dyDescent="0.2">
      <c r="A60" s="11" t="s">
        <v>35</v>
      </c>
      <c r="B60" s="11" t="s">
        <v>30</v>
      </c>
      <c r="C60" s="12">
        <v>0.08</v>
      </c>
      <c r="D60" s="12">
        <v>4.5999999999999996</v>
      </c>
      <c r="E60" s="12">
        <v>1.63</v>
      </c>
    </row>
    <row r="61" spans="1:5" ht="17.25" customHeight="1" x14ac:dyDescent="0.2">
      <c r="A61" s="11" t="s">
        <v>35</v>
      </c>
      <c r="B61" s="11" t="s">
        <v>31</v>
      </c>
      <c r="C61" s="12">
        <v>0.4</v>
      </c>
      <c r="D61" s="12">
        <v>4.5999999999999996</v>
      </c>
      <c r="E61" s="12">
        <v>1.63</v>
      </c>
    </row>
    <row r="62" spans="1:5" ht="17.25" customHeight="1" x14ac:dyDescent="0.2">
      <c r="A62" s="11" t="s">
        <v>36</v>
      </c>
      <c r="B62" s="11" t="s">
        <v>20</v>
      </c>
      <c r="C62" s="12">
        <v>0.13</v>
      </c>
      <c r="D62" s="12">
        <v>4.5999999999999996</v>
      </c>
      <c r="E62" s="12">
        <v>1.78</v>
      </c>
    </row>
    <row r="63" spans="1:5" ht="17.25" customHeight="1" x14ac:dyDescent="0.2">
      <c r="A63" s="11" t="s">
        <v>36</v>
      </c>
      <c r="B63" s="11" t="s">
        <v>21</v>
      </c>
      <c r="C63" s="12">
        <v>0.17</v>
      </c>
      <c r="D63" s="12">
        <v>4.5999999999999996</v>
      </c>
      <c r="E63" s="12">
        <v>1.78</v>
      </c>
    </row>
    <row r="64" spans="1:5" ht="17.25" customHeight="1" x14ac:dyDescent="0.2">
      <c r="A64" s="11" t="s">
        <v>36</v>
      </c>
      <c r="B64" s="11" t="s">
        <v>22</v>
      </c>
      <c r="C64" s="12">
        <v>0.06</v>
      </c>
      <c r="D64" s="12">
        <v>4.5999999999999996</v>
      </c>
      <c r="E64" s="12">
        <v>1.78</v>
      </c>
    </row>
    <row r="65" spans="1:5" ht="17.25" customHeight="1" x14ac:dyDescent="0.2">
      <c r="A65" s="11" t="s">
        <v>36</v>
      </c>
      <c r="B65" s="11" t="s">
        <v>23</v>
      </c>
      <c r="C65" s="12">
        <v>0.03</v>
      </c>
      <c r="D65" s="12">
        <v>4.5999999999999996</v>
      </c>
      <c r="E65" s="12">
        <v>1.78</v>
      </c>
    </row>
    <row r="66" spans="1:5" ht="17.25" customHeight="1" x14ac:dyDescent="0.2">
      <c r="A66" s="11" t="s">
        <v>36</v>
      </c>
      <c r="B66" s="11" t="s">
        <v>24</v>
      </c>
      <c r="C66" s="12">
        <v>0.02</v>
      </c>
      <c r="D66" s="12">
        <v>4.5999999999999996</v>
      </c>
      <c r="E66" s="12">
        <v>1.78</v>
      </c>
    </row>
    <row r="67" spans="1:5" ht="17.25" customHeight="1" x14ac:dyDescent="0.2">
      <c r="A67" s="11" t="s">
        <v>36</v>
      </c>
      <c r="B67" s="11" t="s">
        <v>25</v>
      </c>
      <c r="C67" s="12">
        <v>0.06</v>
      </c>
      <c r="D67" s="12">
        <v>4.5999999999999996</v>
      </c>
      <c r="E67" s="12">
        <v>1.78</v>
      </c>
    </row>
    <row r="68" spans="1:5" ht="17.25" customHeight="1" x14ac:dyDescent="0.2">
      <c r="A68" s="11" t="s">
        <v>36</v>
      </c>
      <c r="B68" s="11" t="s">
        <v>26</v>
      </c>
      <c r="C68" s="12">
        <v>0.16</v>
      </c>
      <c r="D68" s="12">
        <v>4.5999999999999996</v>
      </c>
      <c r="E68" s="12">
        <v>1.78</v>
      </c>
    </row>
    <row r="69" spans="1:5" ht="17.25" customHeight="1" x14ac:dyDescent="0.2">
      <c r="A69" s="11" t="s">
        <v>36</v>
      </c>
      <c r="B69" s="11" t="s">
        <v>27</v>
      </c>
      <c r="C69" s="12">
        <v>0.27</v>
      </c>
      <c r="D69" s="12">
        <v>4.5999999999999996</v>
      </c>
      <c r="E69" s="12">
        <v>1.78</v>
      </c>
    </row>
    <row r="70" spans="1:5" ht="17.25" customHeight="1" x14ac:dyDescent="0.2">
      <c r="A70" s="11" t="s">
        <v>36</v>
      </c>
      <c r="B70" s="11" t="s">
        <v>28</v>
      </c>
      <c r="C70" s="12">
        <v>0.24</v>
      </c>
      <c r="D70" s="12">
        <v>4.5999999999999996</v>
      </c>
      <c r="E70" s="12">
        <v>1.78</v>
      </c>
    </row>
    <row r="71" spans="1:5" ht="17.25" customHeight="1" x14ac:dyDescent="0.2">
      <c r="A71" s="11" t="s">
        <v>36</v>
      </c>
      <c r="B71" s="11" t="s">
        <v>29</v>
      </c>
      <c r="C71" s="12">
        <v>0.17</v>
      </c>
      <c r="D71" s="12">
        <v>4.5999999999999996</v>
      </c>
      <c r="E71" s="12">
        <v>1.78</v>
      </c>
    </row>
    <row r="72" spans="1:5" ht="17.25" customHeight="1" x14ac:dyDescent="0.2">
      <c r="A72" s="11" t="s">
        <v>36</v>
      </c>
      <c r="B72" s="11" t="s">
        <v>30</v>
      </c>
      <c r="C72" s="12">
        <v>0.08</v>
      </c>
      <c r="D72" s="12">
        <v>4.5999999999999996</v>
      </c>
      <c r="E72" s="12">
        <v>1.78</v>
      </c>
    </row>
    <row r="73" spans="1:5" ht="17.25" customHeight="1" x14ac:dyDescent="0.2">
      <c r="A73" s="11" t="s">
        <v>36</v>
      </c>
      <c r="B73" s="11" t="s">
        <v>31</v>
      </c>
      <c r="C73" s="12">
        <v>0.4</v>
      </c>
      <c r="D73" s="12">
        <v>4.5999999999999996</v>
      </c>
      <c r="E73" s="12">
        <v>1.78</v>
      </c>
    </row>
    <row r="74" spans="1:5" ht="17.25" customHeight="1" x14ac:dyDescent="0.2">
      <c r="A74" s="11" t="s">
        <v>37</v>
      </c>
      <c r="B74" s="11" t="s">
        <v>20</v>
      </c>
      <c r="C74" s="12">
        <v>0.14000000000000001</v>
      </c>
      <c r="D74" s="12">
        <v>6.4</v>
      </c>
      <c r="E74" s="12">
        <v>1.83</v>
      </c>
    </row>
    <row r="75" spans="1:5" ht="17.25" customHeight="1" x14ac:dyDescent="0.2">
      <c r="A75" s="11" t="s">
        <v>37</v>
      </c>
      <c r="B75" s="11" t="s">
        <v>21</v>
      </c>
      <c r="C75" s="12">
        <v>0.18</v>
      </c>
      <c r="D75" s="12">
        <v>6.4</v>
      </c>
      <c r="E75" s="12">
        <v>1.83</v>
      </c>
    </row>
    <row r="76" spans="1:5" ht="17.25" customHeight="1" x14ac:dyDescent="0.2">
      <c r="A76" s="11" t="s">
        <v>37</v>
      </c>
      <c r="B76" s="11" t="s">
        <v>22</v>
      </c>
      <c r="C76" s="12">
        <v>0.06</v>
      </c>
      <c r="D76" s="12">
        <v>6.4</v>
      </c>
      <c r="E76" s="12">
        <v>1.83</v>
      </c>
    </row>
    <row r="77" spans="1:5" ht="17.25" customHeight="1" x14ac:dyDescent="0.2">
      <c r="A77" s="11" t="s">
        <v>37</v>
      </c>
      <c r="B77" s="11" t="s">
        <v>23</v>
      </c>
      <c r="C77" s="12">
        <v>0.03</v>
      </c>
      <c r="D77" s="12">
        <v>6.4</v>
      </c>
      <c r="E77" s="12">
        <v>1.83</v>
      </c>
    </row>
    <row r="78" spans="1:5" ht="17.25" customHeight="1" x14ac:dyDescent="0.2">
      <c r="A78" s="11" t="s">
        <v>37</v>
      </c>
      <c r="B78" s="11" t="s">
        <v>24</v>
      </c>
      <c r="C78" s="12">
        <v>0.02</v>
      </c>
      <c r="D78" s="12">
        <v>6.4</v>
      </c>
      <c r="E78" s="12">
        <v>1.83</v>
      </c>
    </row>
    <row r="79" spans="1:5" ht="17.25" customHeight="1" x14ac:dyDescent="0.2">
      <c r="A79" s="11" t="s">
        <v>37</v>
      </c>
      <c r="B79" s="11" t="s">
        <v>25</v>
      </c>
      <c r="C79" s="12">
        <v>0.06</v>
      </c>
      <c r="D79" s="12">
        <v>6.4</v>
      </c>
      <c r="E79" s="12">
        <v>1.83</v>
      </c>
    </row>
    <row r="80" spans="1:5" ht="17.25" customHeight="1" x14ac:dyDescent="0.2">
      <c r="A80" s="11" t="s">
        <v>37</v>
      </c>
      <c r="B80" s="11" t="s">
        <v>26</v>
      </c>
      <c r="C80" s="12">
        <v>0.17</v>
      </c>
      <c r="D80" s="12">
        <v>6.4</v>
      </c>
      <c r="E80" s="12">
        <v>1.83</v>
      </c>
    </row>
    <row r="81" spans="1:5" ht="17.25" customHeight="1" x14ac:dyDescent="0.2">
      <c r="A81" s="11" t="s">
        <v>37</v>
      </c>
      <c r="B81" s="11" t="s">
        <v>27</v>
      </c>
      <c r="C81" s="12">
        <v>0.25</v>
      </c>
      <c r="D81" s="12">
        <v>6.4</v>
      </c>
      <c r="E81" s="12">
        <v>1.83</v>
      </c>
    </row>
    <row r="82" spans="1:5" ht="17.25" customHeight="1" x14ac:dyDescent="0.2">
      <c r="A82" s="11" t="s">
        <v>37</v>
      </c>
      <c r="B82" s="11" t="s">
        <v>28</v>
      </c>
      <c r="C82" s="12">
        <v>0.25</v>
      </c>
      <c r="D82" s="12">
        <v>6.4</v>
      </c>
      <c r="E82" s="12">
        <v>1.83</v>
      </c>
    </row>
    <row r="83" spans="1:5" ht="17.25" customHeight="1" x14ac:dyDescent="0.2">
      <c r="A83" s="11" t="s">
        <v>37</v>
      </c>
      <c r="B83" s="11" t="s">
        <v>29</v>
      </c>
      <c r="C83" s="12">
        <v>0.21</v>
      </c>
      <c r="D83" s="12">
        <v>6.4</v>
      </c>
      <c r="E83" s="12">
        <v>1.83</v>
      </c>
    </row>
    <row r="84" spans="1:5" ht="17.25" customHeight="1" x14ac:dyDescent="0.2">
      <c r="A84" s="11" t="s">
        <v>37</v>
      </c>
      <c r="B84" s="11" t="s">
        <v>30</v>
      </c>
      <c r="C84" s="12">
        <v>0.08</v>
      </c>
      <c r="D84" s="12">
        <v>6.4</v>
      </c>
      <c r="E84" s="12">
        <v>1.83</v>
      </c>
    </row>
    <row r="85" spans="1:5" ht="17.25" customHeight="1" x14ac:dyDescent="0.2">
      <c r="A85" s="11" t="s">
        <v>37</v>
      </c>
      <c r="B85" s="11" t="s">
        <v>31</v>
      </c>
      <c r="C85" s="12">
        <v>0.4</v>
      </c>
      <c r="D85" s="12">
        <v>6.4</v>
      </c>
      <c r="E85" s="12">
        <v>1.83</v>
      </c>
    </row>
    <row r="86" spans="1:5" ht="17.25" customHeight="1" x14ac:dyDescent="0.2">
      <c r="A86" s="11" t="s">
        <v>38</v>
      </c>
      <c r="B86" s="11" t="s">
        <v>20</v>
      </c>
      <c r="C86" s="12">
        <v>0.16</v>
      </c>
      <c r="D86" s="12">
        <v>8.1999999999999993</v>
      </c>
      <c r="E86" s="12">
        <v>2.09</v>
      </c>
    </row>
    <row r="87" spans="1:5" ht="17.25" customHeight="1" x14ac:dyDescent="0.2">
      <c r="A87" s="11" t="s">
        <v>38</v>
      </c>
      <c r="B87" s="11" t="s">
        <v>21</v>
      </c>
      <c r="C87" s="12">
        <v>0.2</v>
      </c>
      <c r="D87" s="12">
        <v>8.1999999999999993</v>
      </c>
      <c r="E87" s="12">
        <v>2.09</v>
      </c>
    </row>
    <row r="88" spans="1:5" ht="17.25" customHeight="1" x14ac:dyDescent="0.2">
      <c r="A88" s="11" t="s">
        <v>38</v>
      </c>
      <c r="B88" s="11" t="s">
        <v>22</v>
      </c>
      <c r="C88" s="12">
        <v>7.0000000000000007E-2</v>
      </c>
      <c r="D88" s="12">
        <v>8.1999999999999993</v>
      </c>
      <c r="E88" s="12">
        <v>2.09</v>
      </c>
    </row>
    <row r="89" spans="1:5" ht="17.25" customHeight="1" x14ac:dyDescent="0.2">
      <c r="A89" s="11" t="s">
        <v>39</v>
      </c>
      <c r="B89" s="11" t="s">
        <v>23</v>
      </c>
      <c r="C89" s="12">
        <v>0.03</v>
      </c>
      <c r="D89" s="12">
        <v>8.1999999999999993</v>
      </c>
      <c r="E89" s="12">
        <v>2.09</v>
      </c>
    </row>
    <row r="90" spans="1:5" ht="17.25" customHeight="1" x14ac:dyDescent="0.2">
      <c r="A90" s="11" t="s">
        <v>39</v>
      </c>
      <c r="B90" s="11" t="s">
        <v>24</v>
      </c>
      <c r="C90" s="12">
        <v>0.02</v>
      </c>
      <c r="D90" s="12">
        <v>8.1999999999999993</v>
      </c>
      <c r="E90" s="12">
        <v>2.09</v>
      </c>
    </row>
    <row r="91" spans="1:5" ht="17.25" customHeight="1" x14ac:dyDescent="0.2">
      <c r="A91" s="11" t="s">
        <v>39</v>
      </c>
      <c r="B91" s="11" t="s">
        <v>25</v>
      </c>
      <c r="C91" s="12">
        <v>7.0000000000000007E-2</v>
      </c>
      <c r="D91" s="12">
        <v>8.1999999999999993</v>
      </c>
      <c r="E91" s="12">
        <v>2.09</v>
      </c>
    </row>
    <row r="92" spans="1:5" ht="17.25" customHeight="1" x14ac:dyDescent="0.2">
      <c r="A92" s="11" t="s">
        <v>39</v>
      </c>
      <c r="B92" s="11" t="s">
        <v>26</v>
      </c>
      <c r="C92" s="12">
        <v>0.19</v>
      </c>
      <c r="D92" s="12">
        <v>8.1999999999999993</v>
      </c>
      <c r="E92" s="12">
        <v>2.09</v>
      </c>
    </row>
    <row r="93" spans="1:5" ht="17.25" customHeight="1" x14ac:dyDescent="0.2">
      <c r="A93" s="11" t="s">
        <v>39</v>
      </c>
      <c r="B93" s="11" t="s">
        <v>27</v>
      </c>
      <c r="C93" s="12">
        <v>0.22</v>
      </c>
      <c r="D93" s="12">
        <v>8.1999999999999993</v>
      </c>
      <c r="E93" s="12">
        <v>2.09</v>
      </c>
    </row>
    <row r="94" spans="1:5" ht="17.25" customHeight="1" x14ac:dyDescent="0.2">
      <c r="A94" s="11" t="s">
        <v>39</v>
      </c>
      <c r="B94" s="11" t="s">
        <v>28</v>
      </c>
      <c r="C94" s="12">
        <v>0.27</v>
      </c>
      <c r="D94" s="12">
        <v>8.1999999999999993</v>
      </c>
      <c r="E94" s="12">
        <v>2.09</v>
      </c>
    </row>
    <row r="95" spans="1:5" ht="17.25" customHeight="1" x14ac:dyDescent="0.2">
      <c r="A95" s="11" t="s">
        <v>39</v>
      </c>
      <c r="B95" s="11" t="s">
        <v>29</v>
      </c>
      <c r="C95" s="12">
        <v>0.4</v>
      </c>
      <c r="D95" s="12">
        <v>8.1999999999999993</v>
      </c>
      <c r="E95" s="12">
        <v>2.09</v>
      </c>
    </row>
    <row r="96" spans="1:5" ht="17.25" customHeight="1" x14ac:dyDescent="0.2">
      <c r="A96" s="11" t="s">
        <v>39</v>
      </c>
      <c r="B96" s="11" t="s">
        <v>30</v>
      </c>
      <c r="C96" s="12">
        <v>0.08</v>
      </c>
      <c r="D96" s="12">
        <v>8.1999999999999993</v>
      </c>
      <c r="E96" s="12">
        <v>2.09</v>
      </c>
    </row>
    <row r="97" spans="1:5" ht="17.25" customHeight="1" x14ac:dyDescent="0.2">
      <c r="A97" s="11" t="s">
        <v>39</v>
      </c>
      <c r="B97" s="11" t="s">
        <v>31</v>
      </c>
      <c r="C97" s="12">
        <v>0.4</v>
      </c>
      <c r="D97" s="12">
        <v>8.1999999999999993</v>
      </c>
      <c r="E97" s="12">
        <v>2.09</v>
      </c>
    </row>
    <row r="98" spans="1:5" ht="17.25" customHeight="1" x14ac:dyDescent="0.2">
      <c r="A98" s="11" t="s">
        <v>40</v>
      </c>
      <c r="B98" s="11" t="s">
        <v>20</v>
      </c>
      <c r="C98" s="12">
        <v>0.17</v>
      </c>
      <c r="D98" s="12">
        <v>8.1999999999999993</v>
      </c>
      <c r="E98" s="12">
        <v>2.33</v>
      </c>
    </row>
    <row r="99" spans="1:5" ht="17.25" customHeight="1" x14ac:dyDescent="0.2">
      <c r="A99" s="11" t="s">
        <v>40</v>
      </c>
      <c r="B99" s="11" t="s">
        <v>21</v>
      </c>
      <c r="C99" s="12">
        <v>0.22</v>
      </c>
      <c r="D99" s="12">
        <v>8.1999999999999993</v>
      </c>
      <c r="E99" s="12">
        <v>2.33</v>
      </c>
    </row>
    <row r="100" spans="1:5" ht="17.25" customHeight="1" x14ac:dyDescent="0.2">
      <c r="A100" s="11" t="s">
        <v>40</v>
      </c>
      <c r="B100" s="11" t="s">
        <v>22</v>
      </c>
      <c r="C100" s="12">
        <v>7.0000000000000007E-2</v>
      </c>
      <c r="D100" s="12">
        <v>8.1999999999999993</v>
      </c>
      <c r="E100" s="12">
        <v>2.33</v>
      </c>
    </row>
    <row r="101" spans="1:5" ht="17.25" customHeight="1" x14ac:dyDescent="0.2">
      <c r="A101" s="11" t="s">
        <v>40</v>
      </c>
      <c r="B101" s="11" t="s">
        <v>23</v>
      </c>
      <c r="C101" s="12">
        <v>0.03</v>
      </c>
      <c r="D101" s="12">
        <v>8.1999999999999993</v>
      </c>
      <c r="E101" s="12">
        <v>2.33</v>
      </c>
    </row>
    <row r="102" spans="1:5" ht="17.25" customHeight="1" x14ac:dyDescent="0.2">
      <c r="A102" s="11" t="s">
        <v>40</v>
      </c>
      <c r="B102" s="11" t="s">
        <v>24</v>
      </c>
      <c r="C102" s="12">
        <v>0.02</v>
      </c>
      <c r="D102" s="12">
        <v>8.1999999999999993</v>
      </c>
      <c r="E102" s="12">
        <v>2.33</v>
      </c>
    </row>
    <row r="103" spans="1:5" ht="17.25" customHeight="1" x14ac:dyDescent="0.2">
      <c r="A103" s="11" t="s">
        <v>40</v>
      </c>
      <c r="B103" s="11" t="s">
        <v>25</v>
      </c>
      <c r="C103" s="12">
        <v>7.0000000000000007E-2</v>
      </c>
      <c r="D103" s="12">
        <v>8.1999999999999993</v>
      </c>
      <c r="E103" s="12">
        <v>2.33</v>
      </c>
    </row>
    <row r="104" spans="1:5" ht="17.25" customHeight="1" x14ac:dyDescent="0.2">
      <c r="A104" s="11" t="s">
        <v>40</v>
      </c>
      <c r="B104" s="11" t="s">
        <v>26</v>
      </c>
      <c r="C104" s="12">
        <v>0.25</v>
      </c>
      <c r="D104" s="12">
        <v>8.1999999999999993</v>
      </c>
      <c r="E104" s="12">
        <v>2.33</v>
      </c>
    </row>
    <row r="105" spans="1:5" ht="17.25" customHeight="1" x14ac:dyDescent="0.2">
      <c r="A105" s="11" t="s">
        <v>40</v>
      </c>
      <c r="B105" s="11" t="s">
        <v>27</v>
      </c>
      <c r="C105" s="12">
        <v>0.32</v>
      </c>
      <c r="D105" s="12">
        <v>8.1999999999999993</v>
      </c>
      <c r="E105" s="12">
        <v>2.33</v>
      </c>
    </row>
    <row r="106" spans="1:5" ht="17.25" customHeight="1" x14ac:dyDescent="0.2">
      <c r="A106" s="11" t="s">
        <v>40</v>
      </c>
      <c r="B106" s="11" t="s">
        <v>28</v>
      </c>
      <c r="C106" s="12">
        <v>0.38</v>
      </c>
      <c r="D106" s="12">
        <v>8.1999999999999993</v>
      </c>
      <c r="E106" s="12">
        <v>2.33</v>
      </c>
    </row>
    <row r="107" spans="1:5" ht="17.25" customHeight="1" x14ac:dyDescent="0.2">
      <c r="A107" s="11" t="s">
        <v>40</v>
      </c>
      <c r="B107" s="11" t="s">
        <v>29</v>
      </c>
      <c r="C107" s="12">
        <v>0.32</v>
      </c>
      <c r="D107" s="12">
        <v>8.1999999999999993</v>
      </c>
      <c r="E107" s="12">
        <v>2.33</v>
      </c>
    </row>
    <row r="108" spans="1:5" ht="17.25" customHeight="1" x14ac:dyDescent="0.2">
      <c r="A108" s="11" t="s">
        <v>40</v>
      </c>
      <c r="B108" s="11" t="s">
        <v>30</v>
      </c>
      <c r="C108" s="12">
        <v>0.08</v>
      </c>
      <c r="D108" s="12">
        <v>8.1999999999999993</v>
      </c>
      <c r="E108" s="12">
        <v>2.33</v>
      </c>
    </row>
    <row r="109" spans="1:5" ht="16" customHeight="1" x14ac:dyDescent="0.2">
      <c r="A109" s="11" t="s">
        <v>40</v>
      </c>
      <c r="B109" s="11" t="s">
        <v>31</v>
      </c>
      <c r="C109" s="12">
        <v>0.4</v>
      </c>
      <c r="D109" s="12">
        <v>8.1999999999999993</v>
      </c>
      <c r="E109" s="12">
        <v>2.33</v>
      </c>
    </row>
    <row r="110" spans="1:5" ht="17.25" customHeight="1" x14ac:dyDescent="0.2">
      <c r="A110" s="198" t="s">
        <v>41</v>
      </c>
      <c r="B110" s="198"/>
      <c r="C110" s="279"/>
    </row>
  </sheetData>
  <mergeCells count="1">
    <mergeCell ref="A110:C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CAPEX</vt:lpstr>
      <vt:lpstr>Electricity Price</vt:lpstr>
      <vt:lpstr>Tomato</vt:lpstr>
      <vt:lpstr>Strawberry</vt:lpstr>
      <vt:lpstr>Squash</vt:lpstr>
      <vt:lpstr>Energy Output</vt:lpstr>
      <vt:lpstr>Panel Spacing</vt:lpstr>
      <vt:lpstr>Panel Config</vt:lpstr>
      <vt:lpstr>PV system Cost (NREL)</vt:lpstr>
      <vt:lpstr>Energy Output Archived</vt:lpstr>
      <vt:lpstr>'Energy Output'!_FilterDatabase</vt:lpstr>
      <vt:lpstr>'Energy Output Archived'!_FilterDatabase</vt:lpstr>
      <vt:lpstr>'PV system Cost (NREL)'!_FilterDatabase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Bijesh Mishra</cp:lastModifiedBy>
  <dcterms:created xsi:type="dcterms:W3CDTF">2024-07-06T20:12:33Z</dcterms:created>
  <dcterms:modified xsi:type="dcterms:W3CDTF">2024-08-09T23:12:30Z</dcterms:modified>
</cp:coreProperties>
</file>