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Choice-paper/Musa Thesis/"/>
    </mc:Choice>
  </mc:AlternateContent>
  <xr:revisionPtr revIDLastSave="18" documentId="13_ncr:1_{FB094A20-E499-4E2F-823F-EA2D45C6B195}" xr6:coauthVersionLast="47" xr6:coauthVersionMax="47" xr10:uidLastSave="{60CF1123-50D8-4734-B9A5-36DDA1176D3A}"/>
  <bookViews>
    <workbookView xWindow="19080" yWindow="-120" windowWidth="19440" windowHeight="15150" activeTab="1" xr2:uid="{08441732-9229-4CE3-BAC0-1AAC5E4C5AC7}"/>
  </bookViews>
  <sheets>
    <sheet name="Sheet3" sheetId="3" r:id="rId1"/>
    <sheet name="Sheet4" sheetId="4" r:id="rId2"/>
    <sheet name="Scenario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4" l="1"/>
  <c r="O2" i="4"/>
  <c r="H2" i="4"/>
  <c r="O2" i="5"/>
  <c r="T2" i="5"/>
  <c r="Q2" i="5"/>
  <c r="S2" i="5"/>
  <c r="N2" i="5"/>
  <c r="R2" i="5"/>
  <c r="K2" i="5"/>
  <c r="H2" i="5"/>
  <c r="AA8" i="3"/>
  <c r="AD4" i="3" s="1"/>
  <c r="G62" i="5" l="1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Z48" i="5"/>
  <c r="X48" i="5"/>
  <c r="V48" i="5"/>
  <c r="T48" i="5"/>
  <c r="R48" i="5"/>
  <c r="P48" i="5"/>
  <c r="N48" i="5"/>
  <c r="L48" i="5"/>
  <c r="G48" i="5"/>
  <c r="G47" i="5"/>
  <c r="G46" i="5"/>
  <c r="E46" i="5"/>
  <c r="E47" i="5" s="1"/>
  <c r="E48" i="5" s="1"/>
  <c r="E49" i="5" s="1"/>
  <c r="E50" i="5" s="1"/>
  <c r="E51" i="5" s="1"/>
  <c r="E52" i="5" s="1"/>
  <c r="E53" i="5" s="1"/>
  <c r="E54" i="5" s="1"/>
  <c r="G45" i="5"/>
  <c r="E45" i="5"/>
  <c r="G44" i="5"/>
  <c r="E44" i="5"/>
  <c r="G43" i="5"/>
  <c r="G42" i="5"/>
  <c r="G41" i="5"/>
  <c r="G40" i="5"/>
  <c r="G39" i="5"/>
  <c r="G63" i="5" s="1"/>
  <c r="H64" i="5" s="1"/>
  <c r="E38" i="5"/>
  <c r="E20" i="5"/>
  <c r="E22" i="5" s="1"/>
  <c r="E19" i="5"/>
  <c r="B19" i="5"/>
  <c r="B14" i="5"/>
  <c r="X12" i="5"/>
  <c r="V12" i="5"/>
  <c r="H12" i="5"/>
  <c r="D12" i="5"/>
  <c r="K12" i="5" s="1"/>
  <c r="C12" i="5"/>
  <c r="V11" i="5"/>
  <c r="H11" i="5"/>
  <c r="D11" i="5"/>
  <c r="M11" i="5" s="1"/>
  <c r="C11" i="5"/>
  <c r="V10" i="5"/>
  <c r="H10" i="5"/>
  <c r="D10" i="5"/>
  <c r="K10" i="5" s="1"/>
  <c r="C10" i="5"/>
  <c r="V9" i="5"/>
  <c r="H9" i="5"/>
  <c r="D9" i="5"/>
  <c r="M9" i="5" s="1"/>
  <c r="C9" i="5"/>
  <c r="V8" i="5"/>
  <c r="H8" i="5"/>
  <c r="D8" i="5"/>
  <c r="K8" i="5" s="1"/>
  <c r="C8" i="5"/>
  <c r="V7" i="5"/>
  <c r="H7" i="5"/>
  <c r="D7" i="5"/>
  <c r="M7" i="5" s="1"/>
  <c r="C7" i="5"/>
  <c r="V6" i="5"/>
  <c r="H6" i="5"/>
  <c r="D6" i="5"/>
  <c r="K6" i="5" s="1"/>
  <c r="C6" i="5"/>
  <c r="V5" i="5"/>
  <c r="H5" i="5"/>
  <c r="D5" i="5"/>
  <c r="M5" i="5" s="1"/>
  <c r="C5" i="5"/>
  <c r="L5" i="5" s="1"/>
  <c r="Q5" i="5" s="1"/>
  <c r="X4" i="5"/>
  <c r="X5" i="5" s="1"/>
  <c r="X6" i="5" s="1"/>
  <c r="X7" i="5" s="1"/>
  <c r="X8" i="5" s="1"/>
  <c r="X9" i="5" s="1"/>
  <c r="X10" i="5" s="1"/>
  <c r="X11" i="5" s="1"/>
  <c r="V4" i="5"/>
  <c r="H4" i="5"/>
  <c r="D4" i="5"/>
  <c r="K4" i="5" s="1"/>
  <c r="C4" i="5"/>
  <c r="X3" i="5"/>
  <c r="V3" i="5"/>
  <c r="H3" i="5"/>
  <c r="D3" i="5"/>
  <c r="M3" i="5" s="1"/>
  <c r="C3" i="5"/>
  <c r="V2" i="5"/>
  <c r="D2" i="5"/>
  <c r="M2" i="5" s="1"/>
  <c r="C2" i="5"/>
  <c r="L2" i="5" s="1"/>
  <c r="E44" i="4"/>
  <c r="X11" i="4"/>
  <c r="X10" i="4"/>
  <c r="X9" i="4"/>
  <c r="Y9" i="4" s="1"/>
  <c r="X8" i="4"/>
  <c r="X7" i="4"/>
  <c r="X6" i="4"/>
  <c r="X5" i="4"/>
  <c r="X4" i="4"/>
  <c r="Y4" i="4" s="1"/>
  <c r="E47" i="4"/>
  <c r="Y3" i="4"/>
  <c r="Y2" i="4"/>
  <c r="W2" i="4"/>
  <c r="E45" i="4"/>
  <c r="W9" i="4"/>
  <c r="V9" i="4"/>
  <c r="U9" i="4"/>
  <c r="E48" i="4"/>
  <c r="E46" i="4"/>
  <c r="E52" i="4"/>
  <c r="E49" i="4"/>
  <c r="E50" i="4" s="1"/>
  <c r="E51" i="4" s="1"/>
  <c r="E53" i="4" s="1"/>
  <c r="E54" i="4" s="1"/>
  <c r="X3" i="4"/>
  <c r="W10" i="4"/>
  <c r="J63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38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39" i="4"/>
  <c r="E38" i="4"/>
  <c r="L8" i="5" l="1"/>
  <c r="Q8" i="5" s="1"/>
  <c r="R8" i="5" s="1"/>
  <c r="L3" i="5"/>
  <c r="Q3" i="5" s="1"/>
  <c r="I42" i="5"/>
  <c r="J42" i="5" s="1"/>
  <c r="I38" i="5"/>
  <c r="J38" i="5" s="1"/>
  <c r="I52" i="5"/>
  <c r="J52" i="5" s="1"/>
  <c r="I45" i="5"/>
  <c r="J45" i="5" s="1"/>
  <c r="I49" i="5"/>
  <c r="J49" i="5" s="1"/>
  <c r="I48" i="5"/>
  <c r="J48" i="5" s="1"/>
  <c r="I63" i="5"/>
  <c r="I59" i="5"/>
  <c r="J59" i="5" s="1"/>
  <c r="I55" i="5"/>
  <c r="J55" i="5" s="1"/>
  <c r="I41" i="5"/>
  <c r="J41" i="5" s="1"/>
  <c r="I62" i="5"/>
  <c r="J62" i="5" s="1"/>
  <c r="I58" i="5"/>
  <c r="J58" i="5" s="1"/>
  <c r="I54" i="5"/>
  <c r="J54" i="5" s="1"/>
  <c r="I51" i="5"/>
  <c r="J51" i="5" s="1"/>
  <c r="I47" i="5"/>
  <c r="J47" i="5" s="1"/>
  <c r="I44" i="5"/>
  <c r="J44" i="5" s="1"/>
  <c r="I40" i="5"/>
  <c r="J40" i="5" s="1"/>
  <c r="I61" i="5"/>
  <c r="J61" i="5" s="1"/>
  <c r="I57" i="5"/>
  <c r="J57" i="5" s="1"/>
  <c r="I53" i="5"/>
  <c r="J53" i="5" s="1"/>
  <c r="I50" i="5"/>
  <c r="J50" i="5" s="1"/>
  <c r="I46" i="5"/>
  <c r="J46" i="5" s="1"/>
  <c r="I43" i="5"/>
  <c r="J43" i="5" s="1"/>
  <c r="I39" i="5"/>
  <c r="J39" i="5" s="1"/>
  <c r="I60" i="5"/>
  <c r="J60" i="5" s="1"/>
  <c r="I56" i="5"/>
  <c r="J56" i="5" s="1"/>
  <c r="L9" i="5"/>
  <c r="Q9" i="5" s="1"/>
  <c r="L12" i="5"/>
  <c r="Q12" i="5" s="1"/>
  <c r="R12" i="5" s="1"/>
  <c r="L10" i="5"/>
  <c r="Q10" i="5" s="1"/>
  <c r="R10" i="5" s="1"/>
  <c r="L11" i="5"/>
  <c r="Q11" i="5" s="1"/>
  <c r="L4" i="5"/>
  <c r="Q4" i="5" s="1"/>
  <c r="R4" i="5" s="1"/>
  <c r="L6" i="5"/>
  <c r="Q6" i="5" s="1"/>
  <c r="R6" i="5" s="1"/>
  <c r="M10" i="5"/>
  <c r="M12" i="5"/>
  <c r="M6" i="5"/>
  <c r="M8" i="5"/>
  <c r="K7" i="5"/>
  <c r="K9" i="5"/>
  <c r="K11" i="5"/>
  <c r="E21" i="5"/>
  <c r="K3" i="5"/>
  <c r="K5" i="5"/>
  <c r="R5" i="5" s="1"/>
  <c r="M4" i="5"/>
  <c r="G63" i="4"/>
  <c r="H64" i="4" s="1"/>
  <c r="AA23" i="3"/>
  <c r="B19" i="4"/>
  <c r="B14" i="4" s="1"/>
  <c r="V2" i="4"/>
  <c r="R7" i="5" l="1"/>
  <c r="N11" i="5"/>
  <c r="N9" i="5"/>
  <c r="N7" i="5"/>
  <c r="N5" i="5"/>
  <c r="N3" i="5"/>
  <c r="P2" i="5"/>
  <c r="N12" i="5"/>
  <c r="P12" i="5" s="1"/>
  <c r="S12" i="5" s="1"/>
  <c r="N10" i="5"/>
  <c r="P10" i="5" s="1"/>
  <c r="S10" i="5" s="1"/>
  <c r="N8" i="5"/>
  <c r="P8" i="5" s="1"/>
  <c r="S8" i="5" s="1"/>
  <c r="N6" i="5"/>
  <c r="P6" i="5" s="1"/>
  <c r="S6" i="5" s="1"/>
  <c r="N4" i="5"/>
  <c r="P4" i="5" s="1"/>
  <c r="S4" i="5" s="1"/>
  <c r="J63" i="5"/>
  <c r="T8" i="5"/>
  <c r="T12" i="5"/>
  <c r="O12" i="5"/>
  <c r="O10" i="5"/>
  <c r="L7" i="5"/>
  <c r="Q7" i="5" s="1"/>
  <c r="O4" i="5"/>
  <c r="R3" i="5"/>
  <c r="E25" i="5"/>
  <c r="E27" i="5" s="1"/>
  <c r="E23" i="5"/>
  <c r="R11" i="5"/>
  <c r="U2" i="5"/>
  <c r="R9" i="5"/>
  <c r="I39" i="4"/>
  <c r="I51" i="4"/>
  <c r="I63" i="4"/>
  <c r="I54" i="4"/>
  <c r="I56" i="4"/>
  <c r="I47" i="4"/>
  <c r="I62" i="4"/>
  <c r="I40" i="4"/>
  <c r="I52" i="4"/>
  <c r="I38" i="4"/>
  <c r="I57" i="4"/>
  <c r="I46" i="4"/>
  <c r="I48" i="4"/>
  <c r="I61" i="4"/>
  <c r="I50" i="4"/>
  <c r="I41" i="4"/>
  <c r="I53" i="4"/>
  <c r="I55" i="4"/>
  <c r="I58" i="4"/>
  <c r="I59" i="4"/>
  <c r="I60" i="4"/>
  <c r="I49" i="4"/>
  <c r="I42" i="4"/>
  <c r="I43" i="4"/>
  <c r="I44" i="4"/>
  <c r="I45" i="4"/>
  <c r="C2" i="4"/>
  <c r="C3" i="4"/>
  <c r="AA9" i="3"/>
  <c r="E19" i="4"/>
  <c r="E20" i="4" s="1"/>
  <c r="E22" i="4" s="1"/>
  <c r="D34" i="3"/>
  <c r="F34" i="3"/>
  <c r="H34" i="3"/>
  <c r="J34" i="3"/>
  <c r="L34" i="3"/>
  <c r="N34" i="3"/>
  <c r="P34" i="3"/>
  <c r="R34" i="3"/>
  <c r="T34" i="3"/>
  <c r="V34" i="3"/>
  <c r="Z48" i="4"/>
  <c r="X48" i="4"/>
  <c r="V48" i="4"/>
  <c r="T48" i="4"/>
  <c r="R48" i="4"/>
  <c r="P48" i="4"/>
  <c r="N48" i="4"/>
  <c r="L48" i="4"/>
  <c r="O6" i="5" l="1"/>
  <c r="T6" i="5"/>
  <c r="O8" i="5"/>
  <c r="P5" i="5"/>
  <c r="S5" i="5" s="1"/>
  <c r="O5" i="5"/>
  <c r="T5" i="5"/>
  <c r="P7" i="5"/>
  <c r="S7" i="5" s="1"/>
  <c r="O7" i="5"/>
  <c r="T7" i="5"/>
  <c r="P9" i="5"/>
  <c r="S9" i="5" s="1"/>
  <c r="T9" i="5"/>
  <c r="O9" i="5"/>
  <c r="B25" i="5"/>
  <c r="B24" i="5"/>
  <c r="B33" i="5"/>
  <c r="B32" i="5"/>
  <c r="B31" i="5"/>
  <c r="B30" i="5"/>
  <c r="B29" i="5"/>
  <c r="B28" i="5"/>
  <c r="B27" i="5"/>
  <c r="B26" i="5"/>
  <c r="S11" i="5"/>
  <c r="P3" i="5"/>
  <c r="S3" i="5" s="1"/>
  <c r="O3" i="5"/>
  <c r="T3" i="5"/>
  <c r="P11" i="5"/>
  <c r="O11" i="5"/>
  <c r="T11" i="5"/>
  <c r="T4" i="5"/>
  <c r="U10" i="5"/>
  <c r="W10" i="5" s="1"/>
  <c r="Y10" i="5" s="1"/>
  <c r="U8" i="5"/>
  <c r="W8" i="5" s="1"/>
  <c r="Y8" i="5" s="1"/>
  <c r="U12" i="5"/>
  <c r="W12" i="5" s="1"/>
  <c r="Y12" i="5" s="1"/>
  <c r="U7" i="5"/>
  <c r="W7" i="5" s="1"/>
  <c r="Y7" i="5" s="1"/>
  <c r="U5" i="5"/>
  <c r="W5" i="5" s="1"/>
  <c r="Y5" i="5" s="1"/>
  <c r="U3" i="5"/>
  <c r="W3" i="5" s="1"/>
  <c r="Y3" i="5" s="1"/>
  <c r="U6" i="5"/>
  <c r="W6" i="5" s="1"/>
  <c r="Y6" i="5" s="1"/>
  <c r="U9" i="5"/>
  <c r="W9" i="5" s="1"/>
  <c r="Y9" i="5" s="1"/>
  <c r="U4" i="5"/>
  <c r="W4" i="5" s="1"/>
  <c r="Y4" i="5" s="1"/>
  <c r="U11" i="5"/>
  <c r="W11" i="5" s="1"/>
  <c r="Y11" i="5" s="1"/>
  <c r="W2" i="5"/>
  <c r="Y2" i="5" s="1"/>
  <c r="T10" i="5"/>
  <c r="E21" i="4"/>
  <c r="B35" i="5" l="1"/>
  <c r="E25" i="4"/>
  <c r="E27" i="4" s="1"/>
  <c r="E23" i="4"/>
  <c r="B27" i="4" l="1"/>
  <c r="B26" i="4"/>
  <c r="B32" i="4"/>
  <c r="B25" i="4"/>
  <c r="B24" i="4"/>
  <c r="B29" i="4"/>
  <c r="B33" i="4"/>
  <c r="B28" i="4"/>
  <c r="B31" i="4"/>
  <c r="B30" i="4"/>
  <c r="AA6" i="3"/>
  <c r="AA7" i="3" s="1"/>
  <c r="V12" i="4"/>
  <c r="V3" i="4"/>
  <c r="V4" i="4"/>
  <c r="V5" i="4"/>
  <c r="V6" i="4"/>
  <c r="V7" i="4"/>
  <c r="V8" i="4"/>
  <c r="V10" i="4"/>
  <c r="V11" i="4"/>
  <c r="C4" i="4"/>
  <c r="L4" i="4" s="1"/>
  <c r="C5" i="4"/>
  <c r="L5" i="4" s="1"/>
  <c r="C6" i="4"/>
  <c r="C7" i="4"/>
  <c r="C8" i="4"/>
  <c r="C9" i="4"/>
  <c r="C10" i="4"/>
  <c r="C11" i="4"/>
  <c r="C12" i="4"/>
  <c r="F84" i="3"/>
  <c r="G58" i="3"/>
  <c r="H58" i="3"/>
  <c r="I58" i="3"/>
  <c r="J58" i="3"/>
  <c r="K58" i="3"/>
  <c r="L58" i="3"/>
  <c r="M58" i="3"/>
  <c r="N58" i="3"/>
  <c r="O58" i="3"/>
  <c r="H12" i="4"/>
  <c r="H3" i="4"/>
  <c r="H4" i="4"/>
  <c r="H5" i="4"/>
  <c r="H6" i="4"/>
  <c r="H7" i="4"/>
  <c r="H8" i="4"/>
  <c r="H9" i="4"/>
  <c r="H10" i="4"/>
  <c r="H11" i="4"/>
  <c r="D3" i="4"/>
  <c r="D4" i="4"/>
  <c r="K4" i="4" s="1"/>
  <c r="D5" i="4"/>
  <c r="D6" i="4"/>
  <c r="M6" i="4" s="1"/>
  <c r="D7" i="4"/>
  <c r="K7" i="4" s="1"/>
  <c r="D8" i="4"/>
  <c r="M8" i="4" s="1"/>
  <c r="D9" i="4"/>
  <c r="M9" i="4" s="1"/>
  <c r="D10" i="4"/>
  <c r="M10" i="4" s="1"/>
  <c r="D11" i="4"/>
  <c r="M11" i="4" s="1"/>
  <c r="D12" i="4"/>
  <c r="M12" i="4" s="1"/>
  <c r="D2" i="4"/>
  <c r="AA24" i="3"/>
  <c r="AD24" i="3" s="1"/>
  <c r="AG24" i="3" s="1"/>
  <c r="AG23" i="3"/>
  <c r="K5" i="4" l="1"/>
  <c r="M5" i="4"/>
  <c r="M3" i="4"/>
  <c r="K3" i="4"/>
  <c r="L3" i="4" s="1"/>
  <c r="M2" i="4"/>
  <c r="K2" i="4"/>
  <c r="L2" i="4"/>
  <c r="B35" i="4"/>
  <c r="AD6" i="3"/>
  <c r="L6" i="4"/>
  <c r="Q6" i="4" s="1"/>
  <c r="L7" i="4"/>
  <c r="M4" i="4"/>
  <c r="M7" i="4"/>
  <c r="K10" i="4"/>
  <c r="K9" i="4"/>
  <c r="K11" i="4"/>
  <c r="K12" i="4"/>
  <c r="L12" i="4" s="1"/>
  <c r="K8" i="4"/>
  <c r="K6" i="4"/>
  <c r="AA18" i="3"/>
  <c r="AG25" i="3"/>
  <c r="AD23" i="3"/>
  <c r="AD25" i="3" s="1"/>
  <c r="AA25" i="3"/>
  <c r="N2" i="4" l="1"/>
  <c r="Q2" i="4"/>
  <c r="R2" i="4"/>
  <c r="T2" i="4"/>
  <c r="U6" i="4"/>
  <c r="W6" i="4" s="1"/>
  <c r="X12" i="4"/>
  <c r="N8" i="4"/>
  <c r="T8" i="4" s="1"/>
  <c r="N11" i="4"/>
  <c r="T11" i="4" s="1"/>
  <c r="N7" i="4"/>
  <c r="T7" i="4" s="1"/>
  <c r="N10" i="4"/>
  <c r="T10" i="4" s="1"/>
  <c r="N6" i="4"/>
  <c r="T6" i="4" s="1"/>
  <c r="N12" i="4"/>
  <c r="T12" i="4" s="1"/>
  <c r="B39" i="3"/>
  <c r="B38" i="3"/>
  <c r="B46" i="3"/>
  <c r="B37" i="3"/>
  <c r="B42" i="3"/>
  <c r="B45" i="3"/>
  <c r="B43" i="3"/>
  <c r="B41" i="3"/>
  <c r="B40" i="3"/>
  <c r="AA21" i="3"/>
  <c r="AA10" i="3"/>
  <c r="AA22" i="3" s="1"/>
  <c r="AA20" i="3"/>
  <c r="B44" i="3"/>
  <c r="R6" i="4"/>
  <c r="Q4" i="4"/>
  <c r="R4" i="4" s="1"/>
  <c r="L8" i="4"/>
  <c r="Q5" i="4"/>
  <c r="R5" i="4" s="1"/>
  <c r="L10" i="4"/>
  <c r="Q7" i="4"/>
  <c r="R7" i="4" s="1"/>
  <c r="Q12" i="4"/>
  <c r="R12" i="4" s="1"/>
  <c r="L11" i="4"/>
  <c r="L9" i="4"/>
  <c r="AD18" i="3"/>
  <c r="AD19" i="3" s="1"/>
  <c r="AG18" i="3"/>
  <c r="AG19" i="3" s="1"/>
  <c r="AA19" i="3"/>
  <c r="N4" i="4" l="1"/>
  <c r="N3" i="4"/>
  <c r="P2" i="4"/>
  <c r="S2" i="4" s="1"/>
  <c r="N5" i="4"/>
  <c r="T5" i="4" s="1"/>
  <c r="N9" i="4"/>
  <c r="T9" i="4" s="1"/>
  <c r="P4" i="4"/>
  <c r="S4" i="4" s="1"/>
  <c r="U4" i="4"/>
  <c r="W4" i="4" s="1"/>
  <c r="P5" i="4"/>
  <c r="S5" i="4" s="1"/>
  <c r="Y6" i="4"/>
  <c r="U3" i="4"/>
  <c r="W3" i="4" s="1"/>
  <c r="U12" i="4"/>
  <c r="W12" i="4" s="1"/>
  <c r="Y12" i="4" s="1"/>
  <c r="U7" i="4"/>
  <c r="W7" i="4" s="1"/>
  <c r="Y7" i="4" s="1"/>
  <c r="U8" i="4"/>
  <c r="W8" i="4" s="1"/>
  <c r="Y8" i="4" s="1"/>
  <c r="U5" i="4"/>
  <c r="W5" i="4" s="1"/>
  <c r="Y5" i="4" s="1"/>
  <c r="U10" i="4"/>
  <c r="Y10" i="4" s="1"/>
  <c r="U11" i="4"/>
  <c r="W11" i="4" s="1"/>
  <c r="Y11" i="4" s="1"/>
  <c r="P7" i="4"/>
  <c r="S7" i="4" s="1"/>
  <c r="B48" i="3"/>
  <c r="AA26" i="3" s="1"/>
  <c r="AD26" i="3" s="1"/>
  <c r="AD27" i="3" s="1"/>
  <c r="P6" i="4"/>
  <c r="S6" i="4" s="1"/>
  <c r="O6" i="4"/>
  <c r="O5" i="4"/>
  <c r="Q8" i="4"/>
  <c r="R8" i="4" s="1"/>
  <c r="Q9" i="4"/>
  <c r="R9" i="4" s="1"/>
  <c r="O7" i="4"/>
  <c r="Q10" i="4"/>
  <c r="R10" i="4" s="1"/>
  <c r="Q11" i="4"/>
  <c r="R11" i="4" s="1"/>
  <c r="P12" i="4"/>
  <c r="S12" i="4" s="1"/>
  <c r="O12" i="4"/>
  <c r="Q3" i="4"/>
  <c r="R3" i="4" s="1"/>
  <c r="AD20" i="3"/>
  <c r="AD21" i="3"/>
  <c r="AG21" i="3"/>
  <c r="AG20" i="3"/>
  <c r="AG22" i="3" s="1"/>
  <c r="P3" i="4" l="1"/>
  <c r="T3" i="4"/>
  <c r="O3" i="4"/>
  <c r="T4" i="4"/>
  <c r="O4" i="4"/>
  <c r="AD22" i="3"/>
  <c r="AA27" i="3"/>
  <c r="AG26" i="3"/>
  <c r="AG27" i="3" s="1"/>
  <c r="P10" i="4"/>
  <c r="S10" i="4" s="1"/>
  <c r="O10" i="4"/>
  <c r="P11" i="4"/>
  <c r="S11" i="4" s="1"/>
  <c r="O11" i="4"/>
  <c r="P8" i="4"/>
  <c r="S8" i="4" s="1"/>
  <c r="O8" i="4"/>
  <c r="S3" i="4"/>
  <c r="P9" i="4"/>
  <c r="S9" i="4" s="1"/>
  <c r="O9" i="4"/>
  <c r="F60" i="3" l="1"/>
  <c r="F63" i="3"/>
  <c r="F64" i="3"/>
  <c r="F65" i="3"/>
  <c r="F67" i="3"/>
  <c r="F66" i="3"/>
  <c r="F70" i="3"/>
  <c r="F69" i="3"/>
  <c r="F73" i="3"/>
  <c r="F71" i="3"/>
  <c r="F82" i="3"/>
  <c r="F81" i="3"/>
  <c r="F58" i="3"/>
  <c r="F61" i="3"/>
  <c r="F68" i="3"/>
  <c r="F72" i="3"/>
  <c r="F62" i="3"/>
  <c r="F83" i="3"/>
  <c r="F77" i="3"/>
  <c r="F79" i="3"/>
  <c r="F59" i="3"/>
  <c r="F76" i="3"/>
  <c r="F80" i="3"/>
  <c r="F78" i="3"/>
  <c r="F74" i="3"/>
  <c r="F7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tc={573C31D1-72A7-47C3-8D06-330262C5AA4C}</author>
    <author>tc={EC4BF2FF-94B1-4A48-A45A-3D6D0598FF03}</author>
  </authors>
  <commentList>
    <comment ref="AA23" authorId="0" shapeId="0" xr:uid="{573C31D1-72A7-47C3-8D06-330262C5AA4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https://pvwatts.nrel.gov/pvwatts.php</t>
      </text>
    </comment>
    <comment ref="AA24" authorId="1" shapeId="0" xr:uid="{EC4BF2FF-94B1-4A48-A45A-3D6D0598FF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https://www.electricchoice.com/electricity-prices-by-state/
</t>
      </text>
    </comment>
  </commentList>
</comments>
</file>

<file path=xl/sharedStrings.xml><?xml version="1.0" encoding="utf-8"?>
<sst xmlns="http://schemas.openxmlformats.org/spreadsheetml/2006/main" count="271" uniqueCount="91">
  <si>
    <t>panel length(ft)</t>
  </si>
  <si>
    <t>Revenue ($)</t>
  </si>
  <si>
    <t>Total cost ($)</t>
  </si>
  <si>
    <t>solar panel cost</t>
  </si>
  <si>
    <t xml:space="preserve">inverter only </t>
  </si>
  <si>
    <t>Electrical Bos</t>
  </si>
  <si>
    <t xml:space="preserve">Install labor and equipment </t>
  </si>
  <si>
    <t>EPC overhead</t>
  </si>
  <si>
    <t>Sale Tax</t>
  </si>
  <si>
    <t xml:space="preserve">interconnection fees </t>
  </si>
  <si>
    <t xml:space="preserve">contigency </t>
  </si>
  <si>
    <t>developer</t>
  </si>
  <si>
    <t xml:space="preserve">Module efficiency </t>
  </si>
  <si>
    <t xml:space="preserve">Capacity </t>
  </si>
  <si>
    <t>Area (acres )</t>
  </si>
  <si>
    <t>Total area (sq ft)</t>
  </si>
  <si>
    <t xml:space="preserve">S.Panel </t>
  </si>
  <si>
    <t xml:space="preserve">spacing </t>
  </si>
  <si>
    <t>length of one side (ft)</t>
  </si>
  <si>
    <t xml:space="preserve">land ( sq ft) 1 acre </t>
  </si>
  <si>
    <t xml:space="preserve">Number of panel rows in 4 acreage of land </t>
  </si>
  <si>
    <t xml:space="preserve">panel per row in 4 acreage of land </t>
  </si>
  <si>
    <t xml:space="preserve">Total  panel in 4 acreage of land </t>
  </si>
  <si>
    <t>solar</t>
  </si>
  <si>
    <t>space</t>
  </si>
  <si>
    <t>Electricity price ($)</t>
  </si>
  <si>
    <t>Profit ($)</t>
  </si>
  <si>
    <t xml:space="preserve">100% PV for 4 acreage of land </t>
  </si>
  <si>
    <t>Lannd (sq ft )</t>
  </si>
  <si>
    <t xml:space="preserve"># of panel row in 4 acreage of land </t>
  </si>
  <si>
    <t>Total panel in 4 acreage of land</t>
  </si>
  <si>
    <t>Electricity generated (KWh )</t>
  </si>
  <si>
    <t xml:space="preserve">Total cost </t>
  </si>
  <si>
    <t>Total cost 4 acreage of land</t>
  </si>
  <si>
    <t xml:space="preserve">70% PV for 4 acreage of land </t>
  </si>
  <si>
    <t xml:space="preserve">60% PV for 4 acreage of land </t>
  </si>
  <si>
    <t>Land (sq ft )</t>
  </si>
  <si>
    <t xml:space="preserve"># of row in 4 acreage of land </t>
  </si>
  <si>
    <t>Area</t>
  </si>
  <si>
    <t>Xside length (ft)</t>
  </si>
  <si>
    <t xml:space="preserve">Yside length (ft) </t>
  </si>
  <si>
    <t xml:space="preserve">solar proportion% </t>
  </si>
  <si>
    <t>solar panel area(ft)</t>
  </si>
  <si>
    <t>Panel width (ft)</t>
  </si>
  <si>
    <t>y= 417.21</t>
  </si>
  <si>
    <t xml:space="preserve">Length of one side = 417.421 x axis </t>
  </si>
  <si>
    <t>s.panel</t>
  </si>
  <si>
    <t xml:space="preserve">space </t>
  </si>
  <si>
    <t xml:space="preserve">s. solar </t>
  </si>
  <si>
    <t>s.solar</t>
  </si>
  <si>
    <t>Total number of panel</t>
  </si>
  <si>
    <t>Area proportion</t>
  </si>
  <si>
    <t>Total spacing X axis</t>
  </si>
  <si>
    <t xml:space="preserve">#of spacing </t>
  </si>
  <si>
    <t>spacing in  x axis</t>
  </si>
  <si>
    <t xml:space="preserve">Revenue($) </t>
  </si>
  <si>
    <t># of panel per  Row(Y)</t>
  </si>
  <si>
    <t>AV Profit ($)</t>
  </si>
  <si>
    <t>Tracker length (ft)</t>
  </si>
  <si>
    <t xml:space="preserve">PV capacity per tracker(kW) </t>
  </si>
  <si>
    <r>
      <rPr>
        <sz val="11"/>
        <color rgb="FFC00000"/>
        <rFont val="Aptos Narrow"/>
        <family val="2"/>
        <scheme val="minor"/>
      </rPr>
      <t>PV Module Specs</t>
    </r>
    <r>
      <rPr>
        <sz val="11"/>
        <color theme="1"/>
        <rFont val="Aptos Narrow"/>
        <family val="2"/>
        <scheme val="minor"/>
      </rPr>
      <t xml:space="preserve"> </t>
    </r>
  </si>
  <si>
    <t>height (ft)</t>
  </si>
  <si>
    <t>width(ft)</t>
  </si>
  <si>
    <t># of panel row(X)</t>
  </si>
  <si>
    <t>Auburn generation (kwh)</t>
  </si>
  <si>
    <t xml:space="preserve">Structural Bos </t>
  </si>
  <si>
    <t>btw row space (ft)</t>
  </si>
  <si>
    <t>output(kw)</t>
  </si>
  <si>
    <t>PV Capacity (kw)</t>
  </si>
  <si>
    <t>Electricity generated(kw/year)</t>
  </si>
  <si>
    <t>Arrray  area (sq ft)</t>
  </si>
  <si>
    <t>Electricuty price($)</t>
  </si>
  <si>
    <t xml:space="preserve"># of spacing unit </t>
  </si>
  <si>
    <t>Tomato price($/pound)</t>
  </si>
  <si>
    <t>Strawberry price($/pound)</t>
  </si>
  <si>
    <t>O&amp;M costs ($/year)</t>
  </si>
  <si>
    <t>installation costs ($)</t>
  </si>
  <si>
    <t>lifespan of solar panel (years)</t>
  </si>
  <si>
    <t xml:space="preserve">interest rate </t>
  </si>
  <si>
    <t>annualized installation costs ($/year)</t>
  </si>
  <si>
    <t>total annual costs for 100% PV ($)</t>
  </si>
  <si>
    <t>annual profit of 100% pv</t>
  </si>
  <si>
    <t>90% PV</t>
  </si>
  <si>
    <t>80% PV</t>
  </si>
  <si>
    <t>70% PV</t>
  </si>
  <si>
    <t>60% PV</t>
  </si>
  <si>
    <t>50% PV</t>
  </si>
  <si>
    <t>40% PV</t>
  </si>
  <si>
    <t>30% PV</t>
  </si>
  <si>
    <t>20% PV</t>
  </si>
  <si>
    <t>10%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</si>
</sst>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  <numFmt numFmtId="167" formatCode="_(* #,##0.0_);_(* \(#,##0.0\);_(* &quot;-&quot;??_);_(@_)"/>
    <numFmt numFmtId="168" formatCode="_(* #,##0.000_);_(* \(#,##0.00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43" fontId="0" fillId="0" borderId="1" xfId="1" applyFont="1" applyBorder="1"/>
    <xf numFmtId="164" fontId="0" fillId="0" borderId="1" xfId="1" applyNumberFormat="1" applyFont="1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2" fillId="0" borderId="0" xfId="0" applyFont="1"/>
    <xf numFmtId="0" fontId="0" fillId="0" borderId="12" xfId="0" applyBorder="1"/>
    <xf numFmtId="0" fontId="2" fillId="0" borderId="8" xfId="0" applyFont="1" applyBorder="1"/>
    <xf numFmtId="3" fontId="0" fillId="0" borderId="0" xfId="0" applyNumberFormat="1"/>
    <xf numFmtId="0" fontId="0" fillId="0" borderId="13" xfId="0" applyBorder="1"/>
    <xf numFmtId="0" fontId="0" fillId="0" borderId="3" xfId="0" applyBorder="1"/>
    <xf numFmtId="0" fontId="0" fillId="0" borderId="5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2" borderId="15" xfId="0" applyFill="1" applyBorder="1"/>
    <xf numFmtId="0" fontId="0" fillId="2" borderId="18" xfId="0" applyFill="1" applyBorder="1"/>
    <xf numFmtId="0" fontId="0" fillId="2" borderId="20" xfId="0" applyFill="1" applyBorder="1"/>
    <xf numFmtId="0" fontId="0" fillId="3" borderId="16" xfId="0" applyFill="1" applyBorder="1"/>
    <xf numFmtId="0" fontId="0" fillId="3" borderId="1" xfId="0" applyFill="1" applyBorder="1"/>
    <xf numFmtId="0" fontId="0" fillId="3" borderId="21" xfId="0" applyFill="1" applyBorder="1"/>
    <xf numFmtId="2" fontId="0" fillId="0" borderId="0" xfId="0" applyNumberFormat="1"/>
    <xf numFmtId="166" fontId="0" fillId="0" borderId="0" xfId="0" applyNumberFormat="1"/>
    <xf numFmtId="2" fontId="0" fillId="0" borderId="4" xfId="0" applyNumberFormat="1" applyBorder="1"/>
    <xf numFmtId="2" fontId="0" fillId="0" borderId="1" xfId="0" applyNumberFormat="1" applyBorder="1"/>
    <xf numFmtId="3" fontId="0" fillId="0" borderId="19" xfId="0" applyNumberFormat="1" applyBorder="1"/>
    <xf numFmtId="2" fontId="0" fillId="0" borderId="19" xfId="0" applyNumberFormat="1" applyBorder="1"/>
    <xf numFmtId="9" fontId="0" fillId="0" borderId="12" xfId="0" applyNumberFormat="1" applyBorder="1"/>
    <xf numFmtId="2" fontId="0" fillId="0" borderId="12" xfId="0" applyNumberFormat="1" applyBorder="1"/>
    <xf numFmtId="43" fontId="0" fillId="0" borderId="0" xfId="1" applyFont="1"/>
    <xf numFmtId="165" fontId="0" fillId="0" borderId="1" xfId="0" applyNumberFormat="1" applyBorder="1"/>
    <xf numFmtId="167" fontId="0" fillId="0" borderId="1" xfId="1" applyNumberFormat="1" applyFont="1" applyBorder="1"/>
    <xf numFmtId="0" fontId="0" fillId="0" borderId="23" xfId="0" applyBorder="1"/>
    <xf numFmtId="0" fontId="0" fillId="0" borderId="24" xfId="0" applyBorder="1"/>
    <xf numFmtId="43" fontId="0" fillId="0" borderId="4" xfId="1" applyFont="1" applyBorder="1"/>
    <xf numFmtId="165" fontId="0" fillId="0" borderId="1" xfId="1" applyNumberFormat="1" applyFont="1" applyBorder="1"/>
    <xf numFmtId="165" fontId="0" fillId="0" borderId="0" xfId="0" applyNumberFormat="1"/>
    <xf numFmtId="43" fontId="0" fillId="0" borderId="8" xfId="1" applyFont="1" applyBorder="1"/>
    <xf numFmtId="43" fontId="0" fillId="0" borderId="1" xfId="0" applyNumberFormat="1" applyBorder="1"/>
    <xf numFmtId="168" fontId="0" fillId="0" borderId="1" xfId="1" applyNumberFormat="1" applyFont="1" applyBorder="1"/>
    <xf numFmtId="0" fontId="3" fillId="4" borderId="1" xfId="0" applyFont="1" applyFill="1" applyBorder="1"/>
    <xf numFmtId="0" fontId="3" fillId="5" borderId="1" xfId="0" applyFont="1" applyFill="1" applyBorder="1"/>
    <xf numFmtId="0" fontId="0" fillId="5" borderId="1" xfId="0" applyFill="1" applyBorder="1"/>
    <xf numFmtId="0" fontId="3" fillId="4" borderId="25" xfId="0" applyFont="1" applyFill="1" applyBorder="1"/>
    <xf numFmtId="0" fontId="3" fillId="6" borderId="0" xfId="0" applyFont="1" applyFill="1"/>
    <xf numFmtId="2" fontId="4" fillId="0" borderId="0" xfId="0" applyNumberFormat="1" applyFont="1"/>
    <xf numFmtId="43" fontId="0" fillId="0" borderId="0" xfId="0" applyNumberFormat="1"/>
    <xf numFmtId="43" fontId="0" fillId="0" borderId="2" xfId="1" applyFont="1" applyBorder="1"/>
    <xf numFmtId="2" fontId="0" fillId="0" borderId="26" xfId="0" applyNumberFormat="1" applyBorder="1"/>
    <xf numFmtId="0" fontId="0" fillId="0" borderId="27" xfId="0" applyBorder="1"/>
    <xf numFmtId="0" fontId="0" fillId="0" borderId="0" xfId="0" applyAlignment="1">
      <alignment horizontal="center"/>
    </xf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4" fontId="0" fillId="0" borderId="1" xfId="0" applyNumberFormat="1" applyBorder="1"/>
    <xf numFmtId="0" fontId="6" fillId="0" borderId="0" xfId="0" applyFont="1"/>
    <xf numFmtId="9" fontId="0" fillId="0" borderId="0" xfId="0" applyNumberFormat="1"/>
    <xf numFmtId="0" fontId="0" fillId="7" borderId="0" xfId="0" applyFill="1"/>
    <xf numFmtId="0" fontId="6" fillId="7" borderId="0" xfId="0" applyFont="1" applyFill="1"/>
    <xf numFmtId="0" fontId="0" fillId="0" borderId="2" xfId="0" applyBorder="1" applyAlignment="1">
      <alignment horizontal="justify" vertical="top" textRotation="135" wrapText="1"/>
    </xf>
    <xf numFmtId="0" fontId="0" fillId="0" borderId="4" xfId="0" applyBorder="1" applyAlignment="1">
      <alignment horizontal="justify" vertical="top" textRotation="135" wrapText="1"/>
    </xf>
    <xf numFmtId="0" fontId="0" fillId="0" borderId="10" xfId="0" applyBorder="1" applyAlignment="1">
      <alignment horizontal="justify" vertical="top" textRotation="135" wrapText="1"/>
    </xf>
    <xf numFmtId="0" fontId="0" fillId="0" borderId="11" xfId="0" applyBorder="1" applyAlignment="1">
      <alignment horizontal="justify" vertical="top" textRotation="135" wrapText="1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11</xdr:row>
      <xdr:rowOff>0</xdr:rowOff>
    </xdr:from>
    <xdr:to>
      <xdr:col>26</xdr:col>
      <xdr:colOff>552450</xdr:colOff>
      <xdr:row>14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54CBA3-5FFD-480E-B5EC-98CF0857F290}"/>
            </a:ext>
          </a:extLst>
        </xdr:cNvPr>
        <xdr:cNvSpPr txBox="1"/>
      </xdr:nvSpPr>
      <xdr:spPr>
        <a:xfrm>
          <a:off x="14601825" y="2162175"/>
          <a:ext cx="2743200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 (kW) = Array Area (m²) × 1 kW/m² × Module Efficiency (%)  Electricity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capacity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71886</xdr:colOff>
      <xdr:row>27</xdr:row>
      <xdr:rowOff>71885</xdr:rowOff>
    </xdr:from>
    <xdr:to>
      <xdr:col>5</xdr:col>
      <xdr:colOff>0</xdr:colOff>
      <xdr:row>31</xdr:row>
      <xdr:rowOff>16531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223350-DD81-42E8-A9C5-AA1F615A9FD7}"/>
            </a:ext>
          </a:extLst>
        </xdr:cNvPr>
        <xdr:cNvSpPr txBox="1"/>
      </xdr:nvSpPr>
      <xdr:spPr>
        <a:xfrm>
          <a:off x="4385094" y="5238748"/>
          <a:ext cx="2480095" cy="6994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 (kW) = Array Area (m²) × 1 kW/m² × Module Efficiency (%)  Electricity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capacity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71886</xdr:colOff>
      <xdr:row>27</xdr:row>
      <xdr:rowOff>71885</xdr:rowOff>
    </xdr:from>
    <xdr:to>
      <xdr:col>5</xdr:col>
      <xdr:colOff>0</xdr:colOff>
      <xdr:row>31</xdr:row>
      <xdr:rowOff>16531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24C971-5188-9045-8E2A-900DAA40F9A6}"/>
            </a:ext>
          </a:extLst>
        </xdr:cNvPr>
        <xdr:cNvSpPr txBox="1"/>
      </xdr:nvSpPr>
      <xdr:spPr>
        <a:xfrm>
          <a:off x="5012186" y="5316985"/>
          <a:ext cx="3814314" cy="7066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 (kW) = Array Area (m²) × 1 kW/m² × Module Efficiency (%)  Electricity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capacity 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gbede musa" id="{5218B5C8-55E0-4536-90D4-6B0A2AA06464}" userId="8135da4974f454b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23" dT="2024-04-04T04:22:35.95" personId="{5218B5C8-55E0-4536-90D4-6B0A2AA06464}" id="{573C31D1-72A7-47C3-8D06-330262C5AA4C}">
    <text>https://pvwatts.nrel.gov/pvwatts.php</text>
    <extLst>
      <x:ext xmlns:xltc2="http://schemas.microsoft.com/office/spreadsheetml/2020/threadedcomments2" uri="{F7C98A9C-CBB3-438F-8F68-D28B6AF4A901}">
        <xltc2:checksum>951409262</xltc2:checksum>
        <xltc2:hyperlink startIndex="0" length="36" url="https://pvwatts.nrel.gov/pvwatts.php"/>
      </x:ext>
    </extLst>
  </threadedComment>
  <threadedComment ref="AA24" dT="2024-04-04T04:49:26.66" personId="{5218B5C8-55E0-4536-90D4-6B0A2AA06464}" id="{EC4BF2FF-94B1-4A48-A45A-3D6D0598FF03}">
    <text xml:space="preserve">https://www.electricchoice.com/electricity-prices-by-state/
</text>
    <extLst>
      <x:ext xmlns:xltc2="http://schemas.microsoft.com/office/spreadsheetml/2020/threadedcomments2" uri="{F7C98A9C-CBB3-438F-8F68-D28B6AF4A901}">
        <xltc2:checksum>2653262516</xltc2:checksum>
        <xltc2:hyperlink startIndex="0" length="59" url="https://www.electricchoice.com/electricity-prices-by-state/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8DCD-A685-4420-9AF4-65346691467A}">
  <dimension ref="A2:AG89"/>
  <sheetViews>
    <sheetView topLeftCell="S1" zoomScale="75" zoomScaleNormal="75" workbookViewId="0">
      <selection activeCell="AA37" sqref="AA37"/>
    </sheetView>
  </sheetViews>
  <sheetFormatPr defaultColWidth="8.85546875" defaultRowHeight="15" x14ac:dyDescent="0.25"/>
  <cols>
    <col min="1" max="1" width="25.28515625" customWidth="1"/>
    <col min="2" max="2" width="13.42578125" bestFit="1" customWidth="1"/>
    <col min="24" max="24" width="8.7109375" customWidth="1"/>
    <col min="25" max="25" width="9.140625" hidden="1" customWidth="1"/>
    <col min="26" max="26" width="43.140625" customWidth="1"/>
    <col min="27" max="27" width="13.42578125" bestFit="1" customWidth="1"/>
    <col min="29" max="29" width="44.42578125" bestFit="1" customWidth="1"/>
    <col min="30" max="30" width="11.7109375" customWidth="1"/>
    <col min="32" max="32" width="33" customWidth="1"/>
    <col min="33" max="33" width="13.140625" bestFit="1" customWidth="1"/>
  </cols>
  <sheetData>
    <row r="2" spans="3:33" ht="15.75" thickBot="1" x14ac:dyDescent="0.3">
      <c r="D2" t="s">
        <v>16</v>
      </c>
      <c r="E2" t="s">
        <v>17</v>
      </c>
      <c r="F2" t="s">
        <v>16</v>
      </c>
      <c r="G2" t="s">
        <v>17</v>
      </c>
      <c r="H2" t="s">
        <v>16</v>
      </c>
      <c r="I2" t="s">
        <v>17</v>
      </c>
      <c r="J2" t="s">
        <v>16</v>
      </c>
      <c r="K2" t="s">
        <v>17</v>
      </c>
      <c r="L2" t="s">
        <v>16</v>
      </c>
      <c r="M2" t="s">
        <v>17</v>
      </c>
      <c r="N2" t="s">
        <v>16</v>
      </c>
      <c r="O2" t="s">
        <v>17</v>
      </c>
      <c r="P2" t="s">
        <v>16</v>
      </c>
      <c r="Q2" t="s">
        <v>17</v>
      </c>
      <c r="R2" t="s">
        <v>16</v>
      </c>
      <c r="S2" t="s">
        <v>17</v>
      </c>
      <c r="T2" t="s">
        <v>16</v>
      </c>
      <c r="U2" t="s">
        <v>17</v>
      </c>
      <c r="V2" t="s">
        <v>16</v>
      </c>
      <c r="W2" t="s">
        <v>17</v>
      </c>
    </row>
    <row r="3" spans="3:33" ht="15.75" thickBot="1" x14ac:dyDescent="0.3">
      <c r="C3">
        <v>3.5</v>
      </c>
      <c r="D3" s="21"/>
      <c r="E3" s="24"/>
      <c r="F3" s="21"/>
      <c r="G3" s="24"/>
      <c r="H3" s="21"/>
      <c r="I3" s="24"/>
      <c r="J3" s="21"/>
      <c r="K3" s="24"/>
      <c r="L3" s="21"/>
      <c r="M3" s="24"/>
      <c r="N3" s="21"/>
      <c r="O3" s="24"/>
      <c r="P3" s="21"/>
      <c r="Q3" s="24"/>
      <c r="R3" s="21"/>
      <c r="S3" s="24"/>
      <c r="T3" s="21"/>
      <c r="U3" s="24"/>
      <c r="V3" s="21"/>
      <c r="W3" s="24"/>
    </row>
    <row r="4" spans="3:33" ht="15.75" thickBot="1" x14ac:dyDescent="0.3">
      <c r="C4">
        <v>3.5</v>
      </c>
      <c r="D4" s="22"/>
      <c r="E4" s="25"/>
      <c r="F4" s="22"/>
      <c r="G4" s="25"/>
      <c r="H4" s="22"/>
      <c r="I4" s="25"/>
      <c r="J4" s="22"/>
      <c r="K4" s="25"/>
      <c r="L4" s="22"/>
      <c r="M4" s="25"/>
      <c r="N4" s="22"/>
      <c r="O4" s="25"/>
      <c r="P4" s="22"/>
      <c r="Q4" s="25"/>
      <c r="R4" s="22"/>
      <c r="S4" s="25"/>
      <c r="T4" s="22"/>
      <c r="U4" s="25"/>
      <c r="V4" s="22"/>
      <c r="W4" s="25"/>
      <c r="Z4" s="17" t="s">
        <v>14</v>
      </c>
      <c r="AA4" s="18">
        <v>4</v>
      </c>
      <c r="AC4" s="9" t="s">
        <v>70</v>
      </c>
      <c r="AD4" s="11">
        <f>AA8*27*0.0929</f>
        <v>75.248999999999995</v>
      </c>
    </row>
    <row r="5" spans="3:33" ht="15.75" thickBot="1" x14ac:dyDescent="0.3">
      <c r="C5">
        <v>3.5</v>
      </c>
      <c r="D5" s="22"/>
      <c r="E5" s="25"/>
      <c r="F5" s="22"/>
      <c r="G5" s="25"/>
      <c r="H5" s="22"/>
      <c r="I5" s="25"/>
      <c r="J5" s="22"/>
      <c r="K5" s="25"/>
      <c r="L5" s="22"/>
      <c r="M5" s="25"/>
      <c r="N5" s="22"/>
      <c r="O5" s="25"/>
      <c r="P5" s="22"/>
      <c r="Q5" s="25"/>
      <c r="R5" s="22"/>
      <c r="S5" s="25"/>
      <c r="T5" s="22"/>
      <c r="U5" s="25"/>
      <c r="V5" s="22"/>
      <c r="W5" s="25"/>
      <c r="Z5" s="19" t="s">
        <v>19</v>
      </c>
      <c r="AA5" s="31">
        <v>43560</v>
      </c>
      <c r="AC5" s="9" t="s">
        <v>12</v>
      </c>
      <c r="AD5" s="33">
        <v>0.21</v>
      </c>
    </row>
    <row r="6" spans="3:33" ht="15.75" thickBot="1" x14ac:dyDescent="0.3">
      <c r="C6">
        <v>3.5</v>
      </c>
      <c r="D6" s="22"/>
      <c r="E6" s="25"/>
      <c r="F6" s="22"/>
      <c r="G6" s="25"/>
      <c r="H6" s="22"/>
      <c r="I6" s="25"/>
      <c r="J6" s="22"/>
      <c r="K6" s="25"/>
      <c r="L6" s="22"/>
      <c r="M6" s="25"/>
      <c r="N6" s="22"/>
      <c r="O6" s="25"/>
      <c r="P6" s="22"/>
      <c r="Q6" s="25"/>
      <c r="R6" s="22"/>
      <c r="S6" s="25"/>
      <c r="T6" s="22"/>
      <c r="U6" s="25"/>
      <c r="V6" s="22"/>
      <c r="W6" s="25"/>
      <c r="Z6" s="19" t="s">
        <v>15</v>
      </c>
      <c r="AA6" s="20">
        <f>AA4*AA5</f>
        <v>174240</v>
      </c>
      <c r="AC6" s="8" t="s">
        <v>13</v>
      </c>
      <c r="AD6" s="34">
        <f>AD4*AD5</f>
        <v>15.802289999999999</v>
      </c>
    </row>
    <row r="7" spans="3:33" x14ac:dyDescent="0.25">
      <c r="C7">
        <v>3.5</v>
      </c>
      <c r="D7" s="22"/>
      <c r="E7" s="25"/>
      <c r="F7" s="22"/>
      <c r="G7" s="25"/>
      <c r="H7" s="22"/>
      <c r="I7" s="25"/>
      <c r="J7" s="22"/>
      <c r="K7" s="25"/>
      <c r="L7" s="22"/>
      <c r="M7" s="25"/>
      <c r="N7" s="22"/>
      <c r="O7" s="25"/>
      <c r="P7" s="22"/>
      <c r="Q7" s="25"/>
      <c r="R7" s="22"/>
      <c r="S7" s="25"/>
      <c r="T7" s="22"/>
      <c r="U7" s="25"/>
      <c r="V7" s="22"/>
      <c r="W7" s="25"/>
      <c r="Z7" s="19" t="s">
        <v>18</v>
      </c>
      <c r="AA7" s="32">
        <f>SQRT(AA6)</f>
        <v>417.42065114222606</v>
      </c>
    </row>
    <row r="8" spans="3:33" ht="15.75" thickBot="1" x14ac:dyDescent="0.3">
      <c r="C8">
        <v>3.5</v>
      </c>
      <c r="D8" s="22"/>
      <c r="E8" s="25"/>
      <c r="F8" s="22"/>
      <c r="G8" s="25"/>
      <c r="H8" s="22"/>
      <c r="I8" s="25"/>
      <c r="J8" s="22"/>
      <c r="K8" s="25"/>
      <c r="L8" s="22"/>
      <c r="M8" s="25"/>
      <c r="N8" s="22"/>
      <c r="O8" s="25"/>
      <c r="P8" s="22"/>
      <c r="Q8" s="25"/>
      <c r="R8" s="22"/>
      <c r="S8" s="25"/>
      <c r="T8" s="22"/>
      <c r="U8" s="25"/>
      <c r="V8" s="22"/>
      <c r="W8" s="25"/>
      <c r="Z8" s="55" t="s">
        <v>20</v>
      </c>
      <c r="AA8" s="32">
        <f>ROUNDDOWN(AA7/R34,0)</f>
        <v>30</v>
      </c>
    </row>
    <row r="9" spans="3:33" ht="15.75" thickBot="1" x14ac:dyDescent="0.3">
      <c r="C9">
        <v>3.5</v>
      </c>
      <c r="D9" s="22"/>
      <c r="E9" s="25"/>
      <c r="F9" s="22"/>
      <c r="G9" s="25"/>
      <c r="H9" s="22"/>
      <c r="I9" s="25"/>
      <c r="J9" s="22"/>
      <c r="K9" s="25"/>
      <c r="L9" s="22"/>
      <c r="M9" s="25"/>
      <c r="N9" s="22"/>
      <c r="O9" s="25"/>
      <c r="P9" s="22"/>
      <c r="Q9" s="25"/>
      <c r="R9" s="22"/>
      <c r="S9" s="25"/>
      <c r="T9" s="22"/>
      <c r="U9" s="25"/>
      <c r="V9" s="22"/>
      <c r="W9" s="25"/>
      <c r="Z9" s="9" t="s">
        <v>21</v>
      </c>
      <c r="AA9" s="54">
        <f>ROUNDDOWN(AA7/C32,0)</f>
        <v>119</v>
      </c>
      <c r="AF9" t="s">
        <v>21</v>
      </c>
    </row>
    <row r="10" spans="3:33" ht="15.75" thickBot="1" x14ac:dyDescent="0.3">
      <c r="C10">
        <v>3.5</v>
      </c>
      <c r="D10" s="22"/>
      <c r="E10" s="25"/>
      <c r="F10" s="22"/>
      <c r="G10" s="25"/>
      <c r="H10" s="22"/>
      <c r="I10" s="25"/>
      <c r="J10" s="22"/>
      <c r="K10" s="25"/>
      <c r="L10" s="22"/>
      <c r="M10" s="25"/>
      <c r="N10" s="22"/>
      <c r="O10" s="25"/>
      <c r="P10" s="22"/>
      <c r="Q10" s="25"/>
      <c r="R10" s="22"/>
      <c r="S10" s="25"/>
      <c r="T10" s="22"/>
      <c r="U10" s="25"/>
      <c r="V10" s="22"/>
      <c r="W10" s="25"/>
      <c r="Z10" s="39" t="s">
        <v>22</v>
      </c>
      <c r="AA10" s="11">
        <f>AA8*AA9</f>
        <v>3570</v>
      </c>
    </row>
    <row r="11" spans="3:33" x14ac:dyDescent="0.25">
      <c r="C11">
        <v>3.5</v>
      </c>
      <c r="D11" s="22"/>
      <c r="E11" s="25"/>
      <c r="F11" s="22"/>
      <c r="G11" s="25"/>
      <c r="H11" s="22"/>
      <c r="I11" s="25"/>
      <c r="J11" s="22"/>
      <c r="K11" s="25"/>
      <c r="L11" s="22"/>
      <c r="M11" s="25"/>
      <c r="N11" s="22"/>
      <c r="O11" s="25"/>
      <c r="P11" s="22"/>
      <c r="Q11" s="25"/>
      <c r="R11" s="22"/>
      <c r="S11" s="25"/>
      <c r="T11" s="22"/>
      <c r="U11" s="25"/>
      <c r="V11" s="22"/>
      <c r="W11" s="25"/>
    </row>
    <row r="12" spans="3:33" x14ac:dyDescent="0.25">
      <c r="C12">
        <v>3.5</v>
      </c>
      <c r="D12" s="22"/>
      <c r="E12" s="25"/>
      <c r="F12" s="22"/>
      <c r="G12" s="25"/>
      <c r="H12" s="22"/>
      <c r="I12" s="25"/>
      <c r="J12" s="22"/>
      <c r="K12" s="25"/>
      <c r="L12" s="22"/>
      <c r="M12" s="25"/>
      <c r="N12" s="22"/>
      <c r="O12" s="25"/>
      <c r="P12" s="22"/>
      <c r="Q12" s="25"/>
      <c r="R12" s="22"/>
      <c r="S12" s="25"/>
      <c r="T12" s="22"/>
      <c r="U12" s="25"/>
      <c r="V12" s="22"/>
      <c r="W12" s="25"/>
    </row>
    <row r="13" spans="3:33" x14ac:dyDescent="0.25">
      <c r="C13">
        <v>3.5</v>
      </c>
      <c r="D13" s="22"/>
      <c r="E13" s="25"/>
      <c r="F13" s="22"/>
      <c r="G13" s="25"/>
      <c r="H13" s="22"/>
      <c r="I13" s="25"/>
      <c r="J13" s="22"/>
      <c r="K13" s="25"/>
      <c r="L13" s="22"/>
      <c r="M13" s="25"/>
      <c r="N13" s="22"/>
      <c r="O13" s="25"/>
      <c r="P13" s="22"/>
      <c r="Q13" s="25"/>
      <c r="R13" s="22"/>
      <c r="S13" s="25"/>
      <c r="T13" s="22"/>
      <c r="U13" s="25"/>
      <c r="V13" s="22"/>
      <c r="W13" s="25"/>
    </row>
    <row r="14" spans="3:33" x14ac:dyDescent="0.25">
      <c r="C14">
        <v>3.5</v>
      </c>
      <c r="D14" s="22"/>
      <c r="E14" s="25"/>
      <c r="F14" s="22"/>
      <c r="G14" s="25"/>
      <c r="H14" s="22"/>
      <c r="I14" s="25"/>
      <c r="J14" s="22"/>
      <c r="K14" s="25"/>
      <c r="L14" s="22"/>
      <c r="M14" s="25"/>
      <c r="N14" s="22"/>
      <c r="O14" s="25"/>
      <c r="P14" s="22"/>
      <c r="Q14" s="25"/>
      <c r="R14" s="22"/>
      <c r="S14" s="25"/>
      <c r="T14" s="22"/>
      <c r="U14" s="25"/>
      <c r="V14" s="22"/>
      <c r="W14" s="25"/>
    </row>
    <row r="15" spans="3:33" x14ac:dyDescent="0.25">
      <c r="C15">
        <v>3.5</v>
      </c>
      <c r="D15" s="22"/>
      <c r="E15" s="25"/>
      <c r="F15" s="22"/>
      <c r="G15" s="25"/>
      <c r="H15" s="22"/>
      <c r="I15" s="25"/>
      <c r="J15" s="22"/>
      <c r="K15" s="25"/>
      <c r="L15" s="22"/>
      <c r="M15" s="25"/>
      <c r="N15" s="22"/>
      <c r="O15" s="25"/>
      <c r="P15" s="22"/>
      <c r="Q15" s="25"/>
      <c r="R15" s="22"/>
      <c r="S15" s="25"/>
      <c r="T15" s="22"/>
      <c r="U15" s="25"/>
      <c r="V15" s="22"/>
      <c r="W15" s="25"/>
    </row>
    <row r="16" spans="3:33" x14ac:dyDescent="0.25">
      <c r="C16">
        <v>3.5</v>
      </c>
      <c r="D16" s="22"/>
      <c r="E16" s="25"/>
      <c r="F16" s="22"/>
      <c r="G16" s="25"/>
      <c r="H16" s="22"/>
      <c r="I16" s="25"/>
      <c r="J16" s="22"/>
      <c r="K16" s="25"/>
      <c r="L16" s="22"/>
      <c r="M16" s="25"/>
      <c r="N16" s="22"/>
      <c r="O16" s="25"/>
      <c r="P16" s="22"/>
      <c r="Q16" s="25"/>
      <c r="R16" s="22"/>
      <c r="S16" s="25"/>
      <c r="T16" s="22"/>
      <c r="U16" s="25"/>
      <c r="V16" s="22"/>
      <c r="W16" s="25"/>
      <c r="Z16" s="77" t="s">
        <v>27</v>
      </c>
      <c r="AA16" s="78"/>
      <c r="AC16" s="77" t="s">
        <v>34</v>
      </c>
      <c r="AD16" s="78"/>
      <c r="AF16" s="77" t="s">
        <v>35</v>
      </c>
      <c r="AG16" s="77"/>
    </row>
    <row r="17" spans="3:33" x14ac:dyDescent="0.25">
      <c r="C17">
        <v>3.5</v>
      </c>
      <c r="D17" s="22"/>
      <c r="E17" s="25"/>
      <c r="F17" s="22"/>
      <c r="G17" s="25"/>
      <c r="H17" s="22"/>
      <c r="I17" s="25"/>
      <c r="J17" s="22"/>
      <c r="K17" s="25"/>
      <c r="L17" s="22"/>
      <c r="M17" s="25"/>
      <c r="N17" s="22"/>
      <c r="O17" s="25"/>
      <c r="P17" s="22"/>
      <c r="Q17" s="25"/>
      <c r="R17" s="22"/>
      <c r="S17" s="25"/>
      <c r="T17" s="22"/>
      <c r="U17" s="25"/>
      <c r="V17" s="22"/>
      <c r="W17" s="25"/>
      <c r="AA17" s="2"/>
    </row>
    <row r="18" spans="3:33" x14ac:dyDescent="0.25">
      <c r="C18">
        <v>3.5</v>
      </c>
      <c r="D18" s="22"/>
      <c r="E18" s="25"/>
      <c r="F18" s="22"/>
      <c r="G18" s="25"/>
      <c r="H18" s="22"/>
      <c r="I18" s="25"/>
      <c r="J18" s="22"/>
      <c r="K18" s="25"/>
      <c r="L18" s="22"/>
      <c r="M18" s="25"/>
      <c r="N18" s="22"/>
      <c r="O18" s="25"/>
      <c r="P18" s="22"/>
      <c r="Q18" s="25"/>
      <c r="R18" s="22"/>
      <c r="S18" s="25"/>
      <c r="T18" s="22"/>
      <c r="U18" s="25"/>
      <c r="V18" s="22"/>
      <c r="W18" s="25"/>
      <c r="Z18" s="2" t="s">
        <v>36</v>
      </c>
      <c r="AA18" s="2">
        <f>AA6</f>
        <v>174240</v>
      </c>
      <c r="AC18" s="2" t="s">
        <v>36</v>
      </c>
      <c r="AD18" s="5">
        <f>0.7*AA18</f>
        <v>121967.99999999999</v>
      </c>
      <c r="AF18" s="2" t="s">
        <v>28</v>
      </c>
      <c r="AG18" s="5">
        <f>0.6*AA18</f>
        <v>104544</v>
      </c>
    </row>
    <row r="19" spans="3:33" x14ac:dyDescent="0.25">
      <c r="C19">
        <v>3.5</v>
      </c>
      <c r="D19" s="22"/>
      <c r="E19" s="25"/>
      <c r="F19" s="22"/>
      <c r="G19" s="25"/>
      <c r="H19" s="22"/>
      <c r="I19" s="25"/>
      <c r="J19" s="22"/>
      <c r="K19" s="25"/>
      <c r="L19" s="22"/>
      <c r="M19" s="25"/>
      <c r="N19" s="22"/>
      <c r="O19" s="25"/>
      <c r="P19" s="22"/>
      <c r="Q19" s="25"/>
      <c r="R19" s="22"/>
      <c r="S19" s="25"/>
      <c r="T19" s="22"/>
      <c r="U19" s="25"/>
      <c r="V19" s="22"/>
      <c r="W19" s="25"/>
      <c r="Z19" s="2" t="s">
        <v>18</v>
      </c>
      <c r="AA19" s="36">
        <f>SQRT(AA18)</f>
        <v>417.42065114222606</v>
      </c>
      <c r="AC19" s="2" t="s">
        <v>18</v>
      </c>
      <c r="AD19" s="30">
        <f>SQRT(AD18)</f>
        <v>349.23917306052596</v>
      </c>
      <c r="AF19" s="2" t="s">
        <v>18</v>
      </c>
      <c r="AG19" s="30">
        <f>SQRT(AG18)</f>
        <v>323.33264604737951</v>
      </c>
    </row>
    <row r="20" spans="3:33" x14ac:dyDescent="0.25">
      <c r="C20">
        <v>3.5</v>
      </c>
      <c r="D20" s="22"/>
      <c r="E20" s="25"/>
      <c r="F20" s="22"/>
      <c r="G20" s="25"/>
      <c r="H20" s="22"/>
      <c r="I20" s="25"/>
      <c r="J20" s="22"/>
      <c r="K20" s="25"/>
      <c r="L20" s="22"/>
      <c r="M20" s="25"/>
      <c r="N20" s="22"/>
      <c r="O20" s="25"/>
      <c r="P20" s="22"/>
      <c r="Q20" s="25"/>
      <c r="R20" s="22"/>
      <c r="S20" s="25"/>
      <c r="T20" s="22"/>
      <c r="U20" s="25"/>
      <c r="V20" s="22"/>
      <c r="W20" s="25"/>
      <c r="Z20" s="2" t="s">
        <v>21</v>
      </c>
      <c r="AA20" s="30">
        <f>AA8</f>
        <v>30</v>
      </c>
      <c r="AC20" s="2" t="s">
        <v>21</v>
      </c>
      <c r="AD20" s="2">
        <f>ROUNDDOWN(AD19/V34,0)</f>
        <v>25</v>
      </c>
      <c r="AF20" s="2" t="s">
        <v>21</v>
      </c>
      <c r="AG20" s="2">
        <f>ROUNDDOWN(AG19/V34,0)</f>
        <v>23</v>
      </c>
    </row>
    <row r="21" spans="3:33" x14ac:dyDescent="0.25">
      <c r="C21">
        <v>3.5</v>
      </c>
      <c r="D21" s="22"/>
      <c r="E21" s="25"/>
      <c r="F21" s="22"/>
      <c r="G21" s="25"/>
      <c r="H21" s="22"/>
      <c r="I21" s="25"/>
      <c r="J21" s="22"/>
      <c r="K21" s="25"/>
      <c r="L21" s="22"/>
      <c r="M21" s="25"/>
      <c r="N21" s="22"/>
      <c r="O21" s="25"/>
      <c r="P21" s="22"/>
      <c r="Q21" s="25"/>
      <c r="R21" s="22"/>
      <c r="S21" s="25"/>
      <c r="T21" s="22"/>
      <c r="U21" s="25"/>
      <c r="V21" s="22"/>
      <c r="W21" s="25"/>
      <c r="Z21" s="2" t="s">
        <v>29</v>
      </c>
      <c r="AA21" s="30">
        <f>AA9</f>
        <v>119</v>
      </c>
      <c r="AC21" s="2" t="s">
        <v>37</v>
      </c>
      <c r="AD21" s="3">
        <f>ROUNDDOWN(AD19/C32,0)</f>
        <v>99</v>
      </c>
      <c r="AF21" s="2" t="s">
        <v>29</v>
      </c>
      <c r="AG21" s="3">
        <f>ROUNDDOWN(AG19/C32,0)</f>
        <v>92</v>
      </c>
    </row>
    <row r="22" spans="3:33" x14ac:dyDescent="0.25">
      <c r="C22">
        <v>3.5</v>
      </c>
      <c r="D22" s="22"/>
      <c r="E22" s="25"/>
      <c r="F22" s="22"/>
      <c r="G22" s="25"/>
      <c r="H22" s="22"/>
      <c r="I22" s="25"/>
      <c r="J22" s="22"/>
      <c r="K22" s="25"/>
      <c r="L22" s="22"/>
      <c r="M22" s="25"/>
      <c r="N22" s="22"/>
      <c r="O22" s="25"/>
      <c r="P22" s="22"/>
      <c r="Q22" s="25"/>
      <c r="R22" s="22"/>
      <c r="S22" s="25"/>
      <c r="T22" s="22"/>
      <c r="U22" s="25"/>
      <c r="V22" s="22"/>
      <c r="W22" s="25"/>
      <c r="Z22" s="2" t="s">
        <v>30</v>
      </c>
      <c r="AA22" s="3">
        <f>AA10</f>
        <v>3570</v>
      </c>
      <c r="AC22" s="2" t="s">
        <v>30</v>
      </c>
      <c r="AD22" s="2">
        <f>AD20*AD21</f>
        <v>2475</v>
      </c>
      <c r="AF22" s="2" t="s">
        <v>30</v>
      </c>
      <c r="AG22" s="2">
        <f>AG20*AG21</f>
        <v>2116</v>
      </c>
    </row>
    <row r="23" spans="3:33" x14ac:dyDescent="0.25">
      <c r="C23">
        <v>3.5</v>
      </c>
      <c r="D23" s="22"/>
      <c r="E23" s="25"/>
      <c r="F23" s="22"/>
      <c r="G23" s="25"/>
      <c r="H23" s="22"/>
      <c r="I23" s="25"/>
      <c r="J23" s="22"/>
      <c r="K23" s="25"/>
      <c r="L23" s="22"/>
      <c r="M23" s="25"/>
      <c r="N23" s="22"/>
      <c r="O23" s="25"/>
      <c r="P23" s="22"/>
      <c r="Q23" s="25"/>
      <c r="R23" s="22"/>
      <c r="S23" s="25"/>
      <c r="T23" s="22"/>
      <c r="U23" s="25"/>
      <c r="V23" s="22"/>
      <c r="W23" s="25"/>
      <c r="Z23" s="2" t="s">
        <v>31</v>
      </c>
      <c r="AA23" s="4">
        <f>5091383</f>
        <v>5091383</v>
      </c>
      <c r="AC23" s="2" t="s">
        <v>31</v>
      </c>
      <c r="AD23" s="3">
        <f>0.7*AA23</f>
        <v>3563968.0999999996</v>
      </c>
      <c r="AF23" s="2" t="s">
        <v>31</v>
      </c>
      <c r="AG23" s="3">
        <f>0.6*AA23</f>
        <v>3054829.8</v>
      </c>
    </row>
    <row r="24" spans="3:33" x14ac:dyDescent="0.25">
      <c r="C24">
        <v>3.5</v>
      </c>
      <c r="D24" s="22"/>
      <c r="E24" s="25"/>
      <c r="F24" s="22"/>
      <c r="G24" s="25"/>
      <c r="H24" s="22"/>
      <c r="I24" s="25"/>
      <c r="J24" s="22"/>
      <c r="K24" s="25"/>
      <c r="L24" s="22"/>
      <c r="M24" s="25"/>
      <c r="N24" s="22"/>
      <c r="O24" s="25"/>
      <c r="P24" s="22"/>
      <c r="Q24" s="25"/>
      <c r="R24" s="22"/>
      <c r="S24" s="25"/>
      <c r="T24" s="22"/>
      <c r="U24" s="25"/>
      <c r="V24" s="22"/>
      <c r="W24" s="25"/>
      <c r="Z24" s="2" t="s">
        <v>25</v>
      </c>
      <c r="AA24" s="41">
        <f>12.4/100</f>
        <v>0.124</v>
      </c>
      <c r="AC24" s="2" t="s">
        <v>25</v>
      </c>
      <c r="AD24" s="45">
        <f>AA24</f>
        <v>0.124</v>
      </c>
      <c r="AF24" s="2" t="s">
        <v>25</v>
      </c>
      <c r="AG24" s="45">
        <f>AD24</f>
        <v>0.124</v>
      </c>
    </row>
    <row r="25" spans="3:33" x14ac:dyDescent="0.25">
      <c r="C25">
        <v>3.5</v>
      </c>
      <c r="D25" s="22"/>
      <c r="E25" s="25"/>
      <c r="F25" s="22"/>
      <c r="G25" s="25"/>
      <c r="H25" s="22"/>
      <c r="I25" s="25"/>
      <c r="J25" s="22"/>
      <c r="K25" s="25"/>
      <c r="L25" s="22"/>
      <c r="M25" s="25"/>
      <c r="N25" s="22"/>
      <c r="O25" s="25"/>
      <c r="P25" s="22"/>
      <c r="Q25" s="25"/>
      <c r="R25" s="22"/>
      <c r="S25" s="25"/>
      <c r="T25" s="22"/>
      <c r="U25" s="25"/>
      <c r="V25" s="22"/>
      <c r="W25" s="25"/>
      <c r="Z25" s="2" t="s">
        <v>1</v>
      </c>
      <c r="AA25" s="4">
        <f>AA23*AA24</f>
        <v>631331.49199999997</v>
      </c>
      <c r="AC25" s="2" t="s">
        <v>1</v>
      </c>
      <c r="AD25" s="37">
        <f>AD23*AD24</f>
        <v>441932.04439999996</v>
      </c>
      <c r="AF25" s="2" t="s">
        <v>1</v>
      </c>
      <c r="AG25" s="37">
        <f>AG23*AG24</f>
        <v>378798.89519999997</v>
      </c>
    </row>
    <row r="26" spans="3:33" x14ac:dyDescent="0.25">
      <c r="C26">
        <v>3.5</v>
      </c>
      <c r="D26" s="22"/>
      <c r="E26" s="25"/>
      <c r="F26" s="22"/>
      <c r="G26" s="25"/>
      <c r="H26" s="22"/>
      <c r="I26" s="25"/>
      <c r="J26" s="22"/>
      <c r="K26" s="25"/>
      <c r="L26" s="22"/>
      <c r="M26" s="25"/>
      <c r="N26" s="22"/>
      <c r="O26" s="25"/>
      <c r="P26" s="22"/>
      <c r="Q26" s="25"/>
      <c r="R26" s="22"/>
      <c r="S26" s="25"/>
      <c r="T26" s="22"/>
      <c r="U26" s="25"/>
      <c r="V26" s="22"/>
      <c r="W26" s="25"/>
      <c r="Z26" s="2" t="s">
        <v>2</v>
      </c>
      <c r="AA26" s="44">
        <f>B48</f>
        <v>3650.32899</v>
      </c>
      <c r="AC26" s="2" t="s">
        <v>2</v>
      </c>
      <c r="AD26" s="4">
        <f>0.7*AA26</f>
        <v>2555.2302929999996</v>
      </c>
      <c r="AF26" s="2" t="s">
        <v>2</v>
      </c>
      <c r="AG26" s="4">
        <f>0.6*AA26</f>
        <v>2190.1973939999998</v>
      </c>
    </row>
    <row r="27" spans="3:33" x14ac:dyDescent="0.25">
      <c r="C27">
        <v>3.5</v>
      </c>
      <c r="D27" s="22"/>
      <c r="E27" s="25"/>
      <c r="F27" s="22"/>
      <c r="G27" s="25"/>
      <c r="H27" s="22"/>
      <c r="I27" s="25"/>
      <c r="J27" s="22"/>
      <c r="K27" s="25"/>
      <c r="L27" s="22"/>
      <c r="M27" s="25"/>
      <c r="N27" s="22"/>
      <c r="O27" s="25"/>
      <c r="P27" s="22"/>
      <c r="Q27" s="25"/>
      <c r="R27" s="22"/>
      <c r="S27" s="25"/>
      <c r="T27" s="22"/>
      <c r="U27" s="25"/>
      <c r="V27" s="22"/>
      <c r="W27" s="25"/>
      <c r="Z27" s="2" t="s">
        <v>26</v>
      </c>
      <c r="AA27" s="60">
        <f>AA25-AA26</f>
        <v>627681.16301000002</v>
      </c>
      <c r="AC27" s="2" t="s">
        <v>26</v>
      </c>
      <c r="AD27" s="44">
        <f>AD25-AD26</f>
        <v>439376.81410699995</v>
      </c>
      <c r="AF27" s="2" t="s">
        <v>26</v>
      </c>
      <c r="AG27" s="44">
        <f>AG25-AG26</f>
        <v>376608.69780599995</v>
      </c>
    </row>
    <row r="28" spans="3:33" x14ac:dyDescent="0.25">
      <c r="C28">
        <v>3.5</v>
      </c>
      <c r="D28" s="22"/>
      <c r="E28" s="25"/>
      <c r="F28" s="22"/>
      <c r="G28" s="25"/>
      <c r="H28" s="22"/>
      <c r="I28" s="25"/>
      <c r="J28" s="22"/>
      <c r="K28" s="25"/>
      <c r="L28" s="22"/>
      <c r="M28" s="25"/>
      <c r="N28" s="22"/>
      <c r="O28" s="25"/>
      <c r="P28" s="22"/>
      <c r="Q28" s="25"/>
      <c r="R28" s="22"/>
      <c r="S28" s="25"/>
      <c r="T28" s="22"/>
      <c r="U28" s="25"/>
      <c r="V28" s="22"/>
      <c r="W28" s="25"/>
    </row>
    <row r="29" spans="3:33" x14ac:dyDescent="0.25">
      <c r="C29">
        <v>3.5</v>
      </c>
      <c r="D29" s="22"/>
      <c r="E29" s="25"/>
      <c r="F29" s="22"/>
      <c r="G29" s="25"/>
      <c r="H29" s="22"/>
      <c r="I29" s="25"/>
      <c r="J29" s="22"/>
      <c r="K29" s="25"/>
      <c r="L29" s="22"/>
      <c r="M29" s="25"/>
      <c r="N29" s="22"/>
      <c r="O29" s="25"/>
      <c r="P29" s="22"/>
      <c r="Q29" s="25"/>
      <c r="R29" s="22"/>
      <c r="S29" s="25"/>
      <c r="T29" s="22"/>
      <c r="U29" s="25"/>
      <c r="V29" s="22"/>
      <c r="W29" s="25"/>
    </row>
    <row r="30" spans="3:33" x14ac:dyDescent="0.25">
      <c r="C30">
        <v>3.5</v>
      </c>
      <c r="D30" s="22"/>
      <c r="E30" s="25"/>
      <c r="F30" s="22"/>
      <c r="G30" s="25"/>
      <c r="H30" s="22"/>
      <c r="I30" s="25"/>
      <c r="J30" s="22"/>
      <c r="K30" s="25"/>
      <c r="L30" s="22"/>
      <c r="M30" s="25"/>
      <c r="N30" s="22"/>
      <c r="O30" s="25"/>
      <c r="P30" s="22"/>
      <c r="Q30" s="25"/>
      <c r="R30" s="22"/>
      <c r="S30" s="25"/>
      <c r="T30" s="22"/>
      <c r="U30" s="25"/>
      <c r="V30" s="22"/>
      <c r="W30" s="25"/>
      <c r="AA30" s="27"/>
    </row>
    <row r="31" spans="3:33" x14ac:dyDescent="0.25">
      <c r="C31">
        <v>3.5</v>
      </c>
      <c r="D31" s="22"/>
      <c r="E31" s="25"/>
      <c r="F31" s="22"/>
      <c r="G31" s="25"/>
      <c r="H31" s="22"/>
      <c r="I31" s="25"/>
      <c r="J31" s="22"/>
      <c r="K31" s="25"/>
      <c r="L31" s="22"/>
      <c r="M31" s="25"/>
      <c r="N31" s="22"/>
      <c r="O31" s="25"/>
      <c r="P31" s="22"/>
      <c r="Q31" s="25"/>
      <c r="R31" s="22"/>
      <c r="S31" s="25"/>
      <c r="T31" s="22"/>
      <c r="U31" s="25"/>
      <c r="V31" s="22"/>
      <c r="W31" s="25"/>
      <c r="AA31" s="27"/>
    </row>
    <row r="32" spans="3:33" ht="15.75" thickBot="1" x14ac:dyDescent="0.3">
      <c r="C32">
        <v>3.5</v>
      </c>
      <c r="D32" s="23"/>
      <c r="E32" s="26"/>
      <c r="F32" s="23"/>
      <c r="G32" s="26"/>
      <c r="H32" s="23"/>
      <c r="I32" s="26"/>
      <c r="J32" s="23"/>
      <c r="K32" s="26"/>
      <c r="L32" s="23"/>
      <c r="M32" s="26"/>
      <c r="N32" s="23"/>
      <c r="O32" s="26"/>
      <c r="P32" s="23"/>
      <c r="Q32" s="26"/>
      <c r="R32" s="23"/>
      <c r="S32" s="26"/>
      <c r="T32" s="23"/>
      <c r="U32" s="26"/>
      <c r="V32" s="23"/>
      <c r="W32" s="26"/>
    </row>
    <row r="33" spans="1:23" x14ac:dyDescent="0.25">
      <c r="D33">
        <v>7.75</v>
      </c>
      <c r="E33">
        <v>6</v>
      </c>
      <c r="F33">
        <v>7.75</v>
      </c>
      <c r="G33">
        <v>6</v>
      </c>
      <c r="H33">
        <v>7.75</v>
      </c>
      <c r="I33">
        <v>6</v>
      </c>
      <c r="J33">
        <v>7.75</v>
      </c>
      <c r="K33">
        <v>6</v>
      </c>
      <c r="L33">
        <v>7.75</v>
      </c>
      <c r="M33">
        <v>6</v>
      </c>
      <c r="N33">
        <v>7.75</v>
      </c>
      <c r="O33">
        <v>6</v>
      </c>
      <c r="P33">
        <v>7.75</v>
      </c>
      <c r="Q33">
        <v>6</v>
      </c>
      <c r="R33">
        <v>7.75</v>
      </c>
      <c r="S33">
        <v>6</v>
      </c>
      <c r="T33">
        <v>7.75</v>
      </c>
      <c r="U33">
        <v>6</v>
      </c>
      <c r="V33">
        <v>7.75</v>
      </c>
      <c r="W33">
        <v>6</v>
      </c>
    </row>
    <row r="34" spans="1:23" x14ac:dyDescent="0.25">
      <c r="D34" s="75">
        <f>D33+E33</f>
        <v>13.75</v>
      </c>
      <c r="E34" s="75"/>
      <c r="F34" s="75">
        <f>F33+G33</f>
        <v>13.75</v>
      </c>
      <c r="G34" s="75"/>
      <c r="H34" s="75">
        <f>H33+I33</f>
        <v>13.75</v>
      </c>
      <c r="I34" s="75"/>
      <c r="J34" s="75">
        <f>J33+K33</f>
        <v>13.75</v>
      </c>
      <c r="K34" s="75"/>
      <c r="L34" s="75">
        <f>L33+M33</f>
        <v>13.75</v>
      </c>
      <c r="M34" s="75"/>
      <c r="N34" s="75">
        <f>N33+O33</f>
        <v>13.75</v>
      </c>
      <c r="O34" s="75"/>
      <c r="P34" s="75">
        <f>P33+Q33</f>
        <v>13.75</v>
      </c>
      <c r="Q34" s="75"/>
      <c r="R34" s="75">
        <f>R33+S33</f>
        <v>13.75</v>
      </c>
      <c r="S34" s="75"/>
      <c r="T34" s="75">
        <f>T33+U33</f>
        <v>13.75</v>
      </c>
      <c r="U34" s="75"/>
      <c r="V34" s="75">
        <f>V33+W33</f>
        <v>13.75</v>
      </c>
      <c r="W34" s="75"/>
    </row>
    <row r="36" spans="1:23" ht="15.75" thickBot="1" x14ac:dyDescent="0.3">
      <c r="A36" s="76" t="s">
        <v>33</v>
      </c>
      <c r="B36" s="76"/>
      <c r="C36" s="76"/>
    </row>
    <row r="37" spans="1:23" x14ac:dyDescent="0.25">
      <c r="A37" s="6" t="s">
        <v>3</v>
      </c>
      <c r="B37" s="53">
        <f>C37*100*AD6</f>
        <v>632.09159999999997</v>
      </c>
      <c r="C37" s="6">
        <v>0.4</v>
      </c>
      <c r="E37" s="38"/>
    </row>
    <row r="38" spans="1:23" x14ac:dyDescent="0.25">
      <c r="A38" s="7" t="s">
        <v>4</v>
      </c>
      <c r="B38" s="40">
        <f>C38*100*AD6</f>
        <v>126.41831999999999</v>
      </c>
      <c r="C38" s="7">
        <v>0.08</v>
      </c>
      <c r="E38" s="10"/>
    </row>
    <row r="39" spans="1:23" x14ac:dyDescent="0.25">
      <c r="A39" s="7" t="s">
        <v>65</v>
      </c>
      <c r="B39" s="40">
        <f>C39*100*AD6</f>
        <v>505.67327999999998</v>
      </c>
      <c r="C39" s="7">
        <v>0.32</v>
      </c>
      <c r="E39" s="10"/>
    </row>
    <row r="40" spans="1:23" x14ac:dyDescent="0.25">
      <c r="A40" s="7" t="s">
        <v>5</v>
      </c>
      <c r="B40" s="40">
        <f>C40*100*AD6</f>
        <v>600.48702000000003</v>
      </c>
      <c r="C40" s="7">
        <v>0.38</v>
      </c>
      <c r="E40" s="10"/>
    </row>
    <row r="41" spans="1:23" x14ac:dyDescent="0.25">
      <c r="A41" s="7" t="s">
        <v>6</v>
      </c>
      <c r="B41" s="40">
        <f>C41*100*AD6</f>
        <v>505.67327999999998</v>
      </c>
      <c r="C41" s="7">
        <v>0.32</v>
      </c>
      <c r="E41" s="10"/>
    </row>
    <row r="42" spans="1:23" x14ac:dyDescent="0.25">
      <c r="A42" s="7" t="s">
        <v>7</v>
      </c>
      <c r="B42" s="40">
        <f>C42*100*AD6</f>
        <v>395.05724999999995</v>
      </c>
      <c r="C42" s="7">
        <v>0.25</v>
      </c>
      <c r="E42" s="10"/>
    </row>
    <row r="43" spans="1:23" x14ac:dyDescent="0.25">
      <c r="A43" s="7" t="s">
        <v>8</v>
      </c>
      <c r="B43" s="40">
        <f>C43*100*AD6</f>
        <v>110.61603000000001</v>
      </c>
      <c r="C43" s="7">
        <v>7.0000000000000007E-2</v>
      </c>
      <c r="E43" s="10"/>
    </row>
    <row r="44" spans="1:23" x14ac:dyDescent="0.25">
      <c r="A44" s="7" t="s">
        <v>9</v>
      </c>
      <c r="B44" s="40">
        <f>C44*1000*AD6</f>
        <v>316.04579999999999</v>
      </c>
      <c r="C44" s="7">
        <v>0.02</v>
      </c>
      <c r="E44" s="10"/>
    </row>
    <row r="45" spans="1:23" x14ac:dyDescent="0.25">
      <c r="A45" s="7" t="s">
        <v>10</v>
      </c>
      <c r="B45" s="40">
        <f>C45*100*AD6</f>
        <v>110.61603000000001</v>
      </c>
      <c r="C45" s="7">
        <v>7.0000000000000007E-2</v>
      </c>
      <c r="E45" s="10"/>
    </row>
    <row r="46" spans="1:23" x14ac:dyDescent="0.25">
      <c r="A46" s="7" t="s">
        <v>11</v>
      </c>
      <c r="B46" s="40">
        <f>C46*AD6*100</f>
        <v>347.65037999999998</v>
      </c>
      <c r="C46" s="7">
        <v>0.22</v>
      </c>
      <c r="E46" s="10"/>
    </row>
    <row r="47" spans="1:23" ht="15.75" thickBot="1" x14ac:dyDescent="0.3">
      <c r="A47" s="7"/>
      <c r="B47" s="29"/>
      <c r="C47" s="8"/>
      <c r="E47" s="10"/>
    </row>
    <row r="48" spans="1:23" ht="15.75" thickBot="1" x14ac:dyDescent="0.3">
      <c r="A48" s="12" t="s">
        <v>32</v>
      </c>
      <c r="B48" s="43">
        <f>SUM(B37:B47)</f>
        <v>3650.32899</v>
      </c>
      <c r="C48" s="8"/>
      <c r="E48" s="10"/>
    </row>
    <row r="49" spans="1:27" x14ac:dyDescent="0.25">
      <c r="A49" s="10"/>
      <c r="B49" s="42"/>
      <c r="E49" s="10"/>
    </row>
    <row r="50" spans="1:27" x14ac:dyDescent="0.25">
      <c r="A50" s="10"/>
      <c r="B50" s="27"/>
      <c r="E50" s="10"/>
    </row>
    <row r="51" spans="1:27" x14ac:dyDescent="0.25"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5" spans="1:27" x14ac:dyDescent="0.25">
      <c r="A55" t="s">
        <v>23</v>
      </c>
    </row>
    <row r="56" spans="1:27" ht="15.75" thickBot="1" x14ac:dyDescent="0.3">
      <c r="A56" t="s">
        <v>24</v>
      </c>
    </row>
    <row r="57" spans="1:27" ht="15" customHeight="1" x14ac:dyDescent="0.25">
      <c r="C57" s="65" t="s">
        <v>44</v>
      </c>
      <c r="E57" s="14"/>
      <c r="F57" s="14" t="s">
        <v>46</v>
      </c>
      <c r="G57" s="14" t="s">
        <v>49</v>
      </c>
      <c r="H57" s="14" t="s">
        <v>46</v>
      </c>
      <c r="I57" s="14" t="s">
        <v>49</v>
      </c>
      <c r="J57" s="14" t="s">
        <v>46</v>
      </c>
      <c r="K57" s="14" t="s">
        <v>49</v>
      </c>
      <c r="L57" s="14" t="s">
        <v>46</v>
      </c>
      <c r="M57" s="14" t="s">
        <v>49</v>
      </c>
      <c r="N57" s="14" t="s">
        <v>46</v>
      </c>
      <c r="O57" s="14" t="s">
        <v>48</v>
      </c>
      <c r="P57" s="14" t="s">
        <v>24</v>
      </c>
      <c r="Q57" s="14" t="s">
        <v>47</v>
      </c>
      <c r="R57" s="14" t="s">
        <v>46</v>
      </c>
      <c r="S57" s="14" t="s">
        <v>47</v>
      </c>
      <c r="T57" s="14" t="s">
        <v>46</v>
      </c>
      <c r="U57" s="14" t="s">
        <v>47</v>
      </c>
      <c r="V57" s="14" t="s">
        <v>24</v>
      </c>
      <c r="W57" s="14" t="s">
        <v>24</v>
      </c>
      <c r="X57" s="14" t="s">
        <v>24</v>
      </c>
      <c r="Y57" s="14"/>
      <c r="Z57" s="14"/>
      <c r="AA57" s="15"/>
    </row>
    <row r="58" spans="1:27" x14ac:dyDescent="0.25">
      <c r="C58" s="66"/>
      <c r="E58">
        <v>3.5</v>
      </c>
      <c r="F58" s="46">
        <f>$E$84*F$85</f>
        <v>27.125</v>
      </c>
      <c r="G58" s="46">
        <f t="shared" ref="G58:O58" si="0">$E$84*G$85</f>
        <v>27.125</v>
      </c>
      <c r="H58" s="46">
        <f t="shared" si="0"/>
        <v>27.125</v>
      </c>
      <c r="I58" s="46">
        <f t="shared" si="0"/>
        <v>27.125</v>
      </c>
      <c r="J58" s="46">
        <f t="shared" si="0"/>
        <v>27.125</v>
      </c>
      <c r="K58" s="46">
        <f t="shared" si="0"/>
        <v>27.125</v>
      </c>
      <c r="L58" s="46">
        <f t="shared" si="0"/>
        <v>27.125</v>
      </c>
      <c r="M58" s="46">
        <f t="shared" si="0"/>
        <v>27.125</v>
      </c>
      <c r="N58" s="46">
        <f t="shared" si="0"/>
        <v>27.125</v>
      </c>
      <c r="O58" s="46">
        <f t="shared" si="0"/>
        <v>27.125</v>
      </c>
      <c r="P58" s="47"/>
      <c r="Q58" s="48"/>
      <c r="R58" s="48"/>
      <c r="S58" s="48"/>
      <c r="T58" s="48"/>
      <c r="U58" s="48"/>
      <c r="V58" s="48"/>
      <c r="W58" s="48"/>
      <c r="X58" s="48"/>
      <c r="AA58" s="16"/>
    </row>
    <row r="59" spans="1:27" x14ac:dyDescent="0.25">
      <c r="C59" s="66"/>
      <c r="E59">
        <v>3.5</v>
      </c>
      <c r="F59" s="46">
        <f>$E$84*$F$85</f>
        <v>27.125</v>
      </c>
      <c r="G59" s="46"/>
      <c r="H59" s="46"/>
      <c r="I59" s="46"/>
      <c r="J59" s="46"/>
      <c r="K59" s="46"/>
      <c r="L59" s="46"/>
      <c r="M59" s="46"/>
      <c r="N59" s="46"/>
      <c r="O59" s="46"/>
      <c r="P59" s="47"/>
      <c r="Q59" s="48"/>
      <c r="R59" s="48"/>
      <c r="S59" s="48"/>
      <c r="T59" s="48"/>
      <c r="U59" s="48"/>
      <c r="V59" s="48"/>
      <c r="W59" s="48"/>
      <c r="X59" s="48"/>
      <c r="AA59" s="16"/>
    </row>
    <row r="60" spans="1:27" x14ac:dyDescent="0.25">
      <c r="C60" s="66"/>
      <c r="E60">
        <v>3.5</v>
      </c>
      <c r="F60" s="46">
        <f t="shared" ref="F60:F83" si="1">E$84*F$85</f>
        <v>27.125</v>
      </c>
      <c r="G60" s="46"/>
      <c r="H60" s="46"/>
      <c r="I60" s="46"/>
      <c r="J60" s="46"/>
      <c r="K60" s="46"/>
      <c r="L60" s="46"/>
      <c r="M60" s="46"/>
      <c r="N60" s="46"/>
      <c r="O60" s="46"/>
      <c r="P60" s="47"/>
      <c r="Q60" s="48"/>
      <c r="R60" s="48"/>
      <c r="S60" s="48"/>
      <c r="T60" s="48"/>
      <c r="U60" s="48"/>
      <c r="V60" s="48"/>
      <c r="W60" s="48"/>
      <c r="X60" s="48"/>
      <c r="AA60" s="16"/>
    </row>
    <row r="61" spans="1:27" x14ac:dyDescent="0.25">
      <c r="C61" s="66"/>
      <c r="E61">
        <v>3.5</v>
      </c>
      <c r="F61" s="46">
        <f t="shared" si="1"/>
        <v>27.125</v>
      </c>
      <c r="G61" s="46"/>
      <c r="H61" s="46"/>
      <c r="I61" s="46"/>
      <c r="J61" s="46"/>
      <c r="K61" s="46"/>
      <c r="L61" s="46"/>
      <c r="M61" s="46"/>
      <c r="N61" s="46"/>
      <c r="O61" s="46"/>
      <c r="P61" s="47"/>
      <c r="Q61" s="48"/>
      <c r="R61" s="48"/>
      <c r="S61" s="48"/>
      <c r="T61" s="48"/>
      <c r="U61" s="48"/>
      <c r="V61" s="48"/>
      <c r="W61" s="48"/>
      <c r="X61" s="48"/>
      <c r="AA61" s="16"/>
    </row>
    <row r="62" spans="1:27" x14ac:dyDescent="0.25">
      <c r="C62" s="66"/>
      <c r="E62">
        <v>3.5</v>
      </c>
      <c r="F62" s="46">
        <f t="shared" si="1"/>
        <v>27.125</v>
      </c>
      <c r="G62" s="46"/>
      <c r="H62" s="46"/>
      <c r="I62" s="46"/>
      <c r="J62" s="46"/>
      <c r="K62" s="46"/>
      <c r="L62" s="46"/>
      <c r="M62" s="46"/>
      <c r="N62" s="46"/>
      <c r="O62" s="46"/>
      <c r="P62" s="47"/>
      <c r="Q62" s="48"/>
      <c r="R62" s="48"/>
      <c r="S62" s="48"/>
      <c r="T62" s="48"/>
      <c r="U62" s="48"/>
      <c r="V62" s="48"/>
      <c r="W62" s="48"/>
      <c r="X62" s="48"/>
      <c r="AA62" s="16"/>
    </row>
    <row r="63" spans="1:27" x14ac:dyDescent="0.25">
      <c r="C63" s="66"/>
      <c r="E63">
        <v>3.5</v>
      </c>
      <c r="F63" s="46">
        <f t="shared" si="1"/>
        <v>27.125</v>
      </c>
      <c r="G63" s="46"/>
      <c r="H63" s="46"/>
      <c r="I63" s="46"/>
      <c r="J63" s="46"/>
      <c r="K63" s="46"/>
      <c r="L63" s="46"/>
      <c r="M63" s="46"/>
      <c r="N63" s="46"/>
      <c r="O63" s="46"/>
      <c r="P63" s="47"/>
      <c r="Q63" s="48"/>
      <c r="R63" s="48"/>
      <c r="S63" s="48"/>
      <c r="T63" s="48"/>
      <c r="U63" s="48"/>
      <c r="V63" s="48"/>
      <c r="W63" s="48"/>
      <c r="X63" s="48"/>
      <c r="AA63" s="16"/>
    </row>
    <row r="64" spans="1:27" x14ac:dyDescent="0.25">
      <c r="C64" s="66"/>
      <c r="E64">
        <v>3.5</v>
      </c>
      <c r="F64" s="46">
        <f t="shared" si="1"/>
        <v>27.125</v>
      </c>
      <c r="G64" s="46"/>
      <c r="H64" s="46"/>
      <c r="I64" s="46"/>
      <c r="J64" s="46"/>
      <c r="K64" s="46"/>
      <c r="L64" s="46"/>
      <c r="M64" s="46"/>
      <c r="N64" s="46"/>
      <c r="O64" s="46"/>
      <c r="P64" s="47"/>
      <c r="Q64" s="48"/>
      <c r="R64" s="48"/>
      <c r="S64" s="48"/>
      <c r="T64" s="48"/>
      <c r="U64" s="48"/>
      <c r="V64" s="48"/>
      <c r="W64" s="48"/>
      <c r="X64" s="48"/>
      <c r="AA64" s="16"/>
    </row>
    <row r="65" spans="3:27" x14ac:dyDescent="0.25">
      <c r="C65" s="66"/>
      <c r="E65">
        <v>3.5</v>
      </c>
      <c r="F65" s="46">
        <f t="shared" si="1"/>
        <v>27.125</v>
      </c>
      <c r="G65" s="46"/>
      <c r="H65" s="46"/>
      <c r="I65" s="46"/>
      <c r="J65" s="46"/>
      <c r="K65" s="46"/>
      <c r="L65" s="46"/>
      <c r="M65" s="46"/>
      <c r="N65" s="46"/>
      <c r="O65" s="46"/>
      <c r="P65" s="47"/>
      <c r="Q65" s="48"/>
      <c r="R65" s="48"/>
      <c r="S65" s="48"/>
      <c r="T65" s="48"/>
      <c r="U65" s="48"/>
      <c r="V65" s="48"/>
      <c r="W65" s="48"/>
      <c r="X65" s="48"/>
      <c r="AA65" s="16"/>
    </row>
    <row r="66" spans="3:27" x14ac:dyDescent="0.25">
      <c r="C66" s="66"/>
      <c r="E66">
        <v>3.5</v>
      </c>
      <c r="F66" s="46">
        <f t="shared" si="1"/>
        <v>27.125</v>
      </c>
      <c r="G66" s="46"/>
      <c r="H66" s="46"/>
      <c r="I66" s="46"/>
      <c r="J66" s="46"/>
      <c r="K66" s="46"/>
      <c r="L66" s="46"/>
      <c r="M66" s="46"/>
      <c r="N66" s="46"/>
      <c r="O66" s="46"/>
      <c r="P66" s="47"/>
      <c r="Q66" s="48"/>
      <c r="R66" s="48"/>
      <c r="S66" s="48"/>
      <c r="T66" s="48"/>
      <c r="U66" s="48"/>
      <c r="V66" s="48"/>
      <c r="W66" s="48"/>
      <c r="X66" s="48"/>
      <c r="AA66" s="16"/>
    </row>
    <row r="67" spans="3:27" x14ac:dyDescent="0.25">
      <c r="C67" s="66"/>
      <c r="E67">
        <v>3.5</v>
      </c>
      <c r="F67" s="46">
        <f t="shared" si="1"/>
        <v>27.125</v>
      </c>
      <c r="G67" s="46"/>
      <c r="H67" s="46"/>
      <c r="I67" s="46"/>
      <c r="J67" s="46"/>
      <c r="K67" s="46"/>
      <c r="L67" s="46"/>
      <c r="M67" s="46"/>
      <c r="N67" s="46"/>
      <c r="O67" s="46"/>
      <c r="P67" s="47"/>
      <c r="Q67" s="48"/>
      <c r="R67" s="48"/>
      <c r="S67" s="48"/>
      <c r="T67" s="48"/>
      <c r="U67" s="48"/>
      <c r="V67" s="48"/>
      <c r="W67" s="48"/>
      <c r="X67" s="48"/>
      <c r="AA67" s="16"/>
    </row>
    <row r="68" spans="3:27" x14ac:dyDescent="0.25">
      <c r="C68" s="66"/>
      <c r="E68">
        <v>3.5</v>
      </c>
      <c r="F68" s="46">
        <f t="shared" si="1"/>
        <v>27.125</v>
      </c>
      <c r="G68" s="46"/>
      <c r="H68" s="46"/>
      <c r="I68" s="46"/>
      <c r="J68" s="46"/>
      <c r="K68" s="46"/>
      <c r="L68" s="46"/>
      <c r="M68" s="46"/>
      <c r="N68" s="46"/>
      <c r="O68" s="46"/>
      <c r="P68" s="47"/>
      <c r="Q68" s="48"/>
      <c r="R68" s="48"/>
      <c r="S68" s="48"/>
      <c r="T68" s="48"/>
      <c r="U68" s="48"/>
      <c r="V68" s="48"/>
      <c r="W68" s="48"/>
      <c r="X68" s="48"/>
      <c r="AA68" s="16"/>
    </row>
    <row r="69" spans="3:27" x14ac:dyDescent="0.25">
      <c r="C69" s="66"/>
      <c r="E69">
        <v>3.5</v>
      </c>
      <c r="F69" s="46">
        <f t="shared" si="1"/>
        <v>27.125</v>
      </c>
      <c r="G69" s="46"/>
      <c r="H69" s="46"/>
      <c r="I69" s="46"/>
      <c r="J69" s="46"/>
      <c r="K69" s="46"/>
      <c r="L69" s="46"/>
      <c r="M69" s="46"/>
      <c r="N69" s="46"/>
      <c r="O69" s="46"/>
      <c r="P69" s="47"/>
      <c r="Q69" s="48"/>
      <c r="R69" s="48"/>
      <c r="S69" s="48"/>
      <c r="T69" s="48"/>
      <c r="U69" s="48"/>
      <c r="V69" s="48"/>
      <c r="W69" s="48"/>
      <c r="X69" s="48"/>
      <c r="AA69" s="16"/>
    </row>
    <row r="70" spans="3:27" x14ac:dyDescent="0.25">
      <c r="C70" s="66"/>
      <c r="E70">
        <v>3.5</v>
      </c>
      <c r="F70" s="46">
        <f t="shared" si="1"/>
        <v>27.125</v>
      </c>
      <c r="G70" s="46"/>
      <c r="H70" s="46"/>
      <c r="I70" s="46"/>
      <c r="J70" s="46"/>
      <c r="K70" s="46"/>
      <c r="L70" s="46"/>
      <c r="M70" s="46"/>
      <c r="N70" s="46"/>
      <c r="O70" s="46"/>
      <c r="P70" s="47"/>
      <c r="Q70" s="48"/>
      <c r="R70" s="48"/>
      <c r="S70" s="48"/>
      <c r="T70" s="48"/>
      <c r="U70" s="48"/>
      <c r="V70" s="48"/>
      <c r="W70" s="48"/>
      <c r="X70" s="48"/>
      <c r="AA70" s="16"/>
    </row>
    <row r="71" spans="3:27" x14ac:dyDescent="0.25">
      <c r="C71" s="66"/>
      <c r="E71">
        <v>3.5</v>
      </c>
      <c r="F71" s="46">
        <f t="shared" si="1"/>
        <v>27.125</v>
      </c>
      <c r="G71" s="46"/>
      <c r="H71" s="46"/>
      <c r="I71" s="46"/>
      <c r="J71" s="46"/>
      <c r="K71" s="46"/>
      <c r="L71" s="46"/>
      <c r="M71" s="46"/>
      <c r="N71" s="46"/>
      <c r="O71" s="46"/>
      <c r="P71" s="47"/>
      <c r="Q71" s="48"/>
      <c r="R71" s="48"/>
      <c r="S71" s="48"/>
      <c r="T71" s="48"/>
      <c r="U71" s="48"/>
      <c r="V71" s="48"/>
      <c r="W71" s="48"/>
      <c r="X71" s="48"/>
      <c r="AA71" s="16"/>
    </row>
    <row r="72" spans="3:27" x14ac:dyDescent="0.25">
      <c r="C72" s="66"/>
      <c r="E72">
        <v>3.5</v>
      </c>
      <c r="F72" s="46">
        <f t="shared" si="1"/>
        <v>27.125</v>
      </c>
      <c r="G72" s="46"/>
      <c r="H72" s="46"/>
      <c r="I72" s="46"/>
      <c r="J72" s="46"/>
      <c r="K72" s="46"/>
      <c r="L72" s="46"/>
      <c r="M72" s="46"/>
      <c r="N72" s="46"/>
      <c r="O72" s="46"/>
      <c r="P72" s="47"/>
      <c r="Q72" s="48"/>
      <c r="R72" s="48"/>
      <c r="S72" s="48"/>
      <c r="T72" s="48"/>
      <c r="U72" s="48"/>
      <c r="V72" s="48"/>
      <c r="W72" s="48"/>
      <c r="X72" s="48"/>
      <c r="AA72" s="16"/>
    </row>
    <row r="73" spans="3:27" x14ac:dyDescent="0.25">
      <c r="C73" s="66"/>
      <c r="E73">
        <v>3.5</v>
      </c>
      <c r="F73" s="46">
        <f t="shared" si="1"/>
        <v>27.125</v>
      </c>
      <c r="G73" s="46"/>
      <c r="H73" s="46"/>
      <c r="I73" s="46"/>
      <c r="J73" s="46"/>
      <c r="K73" s="46"/>
      <c r="L73" s="46"/>
      <c r="M73" s="46"/>
      <c r="N73" s="46"/>
      <c r="O73" s="46"/>
      <c r="P73" s="47"/>
      <c r="Q73" s="48"/>
      <c r="R73" s="48"/>
      <c r="S73" s="48"/>
      <c r="T73" s="48"/>
      <c r="U73" s="48"/>
      <c r="V73" s="48"/>
      <c r="W73" s="48"/>
      <c r="X73" s="48"/>
      <c r="AA73" s="16"/>
    </row>
    <row r="74" spans="3:27" x14ac:dyDescent="0.25">
      <c r="C74" s="66"/>
      <c r="E74">
        <v>3.5</v>
      </c>
      <c r="F74" s="46">
        <f t="shared" si="1"/>
        <v>27.125</v>
      </c>
      <c r="G74" s="46"/>
      <c r="H74" s="46"/>
      <c r="I74" s="46"/>
      <c r="J74" s="46"/>
      <c r="K74" s="46"/>
      <c r="L74" s="46"/>
      <c r="M74" s="46"/>
      <c r="N74" s="46"/>
      <c r="O74" s="46"/>
      <c r="P74" s="47"/>
      <c r="Q74" s="48"/>
      <c r="R74" s="48"/>
      <c r="S74" s="48"/>
      <c r="T74" s="48"/>
      <c r="U74" s="48"/>
      <c r="V74" s="48"/>
      <c r="W74" s="48"/>
      <c r="X74" s="48"/>
      <c r="AA74" s="16"/>
    </row>
    <row r="75" spans="3:27" x14ac:dyDescent="0.25">
      <c r="C75" s="66"/>
      <c r="E75">
        <v>3.5</v>
      </c>
      <c r="F75" s="46">
        <f t="shared" si="1"/>
        <v>27.125</v>
      </c>
      <c r="G75" s="46"/>
      <c r="H75" s="46"/>
      <c r="I75" s="46"/>
      <c r="J75" s="46"/>
      <c r="K75" s="46"/>
      <c r="L75" s="46"/>
      <c r="M75" s="46"/>
      <c r="N75" s="46"/>
      <c r="O75" s="46"/>
      <c r="P75" s="47"/>
      <c r="Q75" s="48"/>
      <c r="R75" s="48"/>
      <c r="S75" s="48"/>
      <c r="T75" s="48"/>
      <c r="U75" s="48"/>
      <c r="V75" s="48"/>
      <c r="W75" s="48"/>
      <c r="X75" s="48"/>
      <c r="AA75" s="16"/>
    </row>
    <row r="76" spans="3:27" x14ac:dyDescent="0.25">
      <c r="C76" s="66"/>
      <c r="E76">
        <v>3.5</v>
      </c>
      <c r="F76" s="46">
        <f t="shared" si="1"/>
        <v>27.125</v>
      </c>
      <c r="G76" s="46"/>
      <c r="H76" s="46"/>
      <c r="I76" s="46"/>
      <c r="J76" s="46"/>
      <c r="K76" s="46"/>
      <c r="L76" s="46"/>
      <c r="M76" s="46"/>
      <c r="N76" s="46"/>
      <c r="O76" s="46"/>
      <c r="P76" s="47"/>
      <c r="Q76" s="48"/>
      <c r="R76" s="48"/>
      <c r="S76" s="48"/>
      <c r="T76" s="48"/>
      <c r="U76" s="48"/>
      <c r="V76" s="48"/>
      <c r="W76" s="48"/>
      <c r="X76" s="48"/>
      <c r="AA76" s="16"/>
    </row>
    <row r="77" spans="3:27" x14ac:dyDescent="0.25">
      <c r="C77" s="66"/>
      <c r="E77">
        <v>3.5</v>
      </c>
      <c r="F77" s="46">
        <f t="shared" si="1"/>
        <v>27.125</v>
      </c>
      <c r="G77" s="46"/>
      <c r="H77" s="46"/>
      <c r="I77" s="46"/>
      <c r="J77" s="46"/>
      <c r="K77" s="46"/>
      <c r="L77" s="46"/>
      <c r="M77" s="46"/>
      <c r="N77" s="46"/>
      <c r="O77" s="46"/>
      <c r="P77" s="47"/>
      <c r="Q77" s="48"/>
      <c r="R77" s="48"/>
      <c r="S77" s="48"/>
      <c r="T77" s="48"/>
      <c r="U77" s="48"/>
      <c r="V77" s="48"/>
      <c r="W77" s="48"/>
      <c r="X77" s="48"/>
      <c r="AA77" s="16"/>
    </row>
    <row r="78" spans="3:27" x14ac:dyDescent="0.25">
      <c r="C78" s="66"/>
      <c r="E78">
        <v>3.5</v>
      </c>
      <c r="F78" s="46">
        <f t="shared" si="1"/>
        <v>27.125</v>
      </c>
      <c r="G78" s="46"/>
      <c r="H78" s="46"/>
      <c r="I78" s="46"/>
      <c r="J78" s="46"/>
      <c r="K78" s="46"/>
      <c r="L78" s="46"/>
      <c r="M78" s="46"/>
      <c r="N78" s="46"/>
      <c r="O78" s="46"/>
      <c r="P78" s="47"/>
      <c r="Q78" s="48"/>
      <c r="R78" s="48"/>
      <c r="S78" s="48"/>
      <c r="T78" s="48"/>
      <c r="U78" s="48"/>
      <c r="V78" s="48"/>
      <c r="W78" s="48"/>
      <c r="X78" s="48"/>
      <c r="AA78" s="16"/>
    </row>
    <row r="79" spans="3:27" x14ac:dyDescent="0.25">
      <c r="C79" s="66"/>
      <c r="E79">
        <v>3.5</v>
      </c>
      <c r="F79" s="46">
        <f t="shared" si="1"/>
        <v>27.125</v>
      </c>
      <c r="G79" s="46"/>
      <c r="H79" s="46"/>
      <c r="I79" s="46"/>
      <c r="J79" s="46"/>
      <c r="K79" s="46"/>
      <c r="L79" s="46"/>
      <c r="M79" s="46"/>
      <c r="N79" s="46"/>
      <c r="O79" s="46"/>
      <c r="P79" s="47"/>
      <c r="Q79" s="48"/>
      <c r="R79" s="48"/>
      <c r="S79" s="48"/>
      <c r="T79" s="48"/>
      <c r="U79" s="48"/>
      <c r="V79" s="48"/>
      <c r="W79" s="48"/>
      <c r="X79" s="48"/>
      <c r="AA79" s="16"/>
    </row>
    <row r="80" spans="3:27" x14ac:dyDescent="0.25">
      <c r="C80" s="66"/>
      <c r="E80">
        <v>3.5</v>
      </c>
      <c r="F80" s="46">
        <f t="shared" si="1"/>
        <v>27.125</v>
      </c>
      <c r="G80" s="46"/>
      <c r="H80" s="46"/>
      <c r="I80" s="46"/>
      <c r="J80" s="46"/>
      <c r="K80" s="46"/>
      <c r="L80" s="46"/>
      <c r="M80" s="46"/>
      <c r="N80" s="46"/>
      <c r="O80" s="46"/>
      <c r="P80" s="47"/>
      <c r="Q80" s="48"/>
      <c r="R80" s="48"/>
      <c r="S80" s="48"/>
      <c r="T80" s="48"/>
      <c r="U80" s="48"/>
      <c r="V80" s="48"/>
      <c r="W80" s="48"/>
      <c r="X80" s="48"/>
      <c r="AA80" s="16"/>
    </row>
    <row r="81" spans="3:27" x14ac:dyDescent="0.25">
      <c r="C81" s="66"/>
      <c r="E81">
        <v>3.5</v>
      </c>
      <c r="F81" s="46">
        <f t="shared" si="1"/>
        <v>27.125</v>
      </c>
      <c r="G81" s="46"/>
      <c r="H81" s="46"/>
      <c r="I81" s="46"/>
      <c r="J81" s="46"/>
      <c r="K81" s="46"/>
      <c r="L81" s="46"/>
      <c r="M81" s="46"/>
      <c r="N81" s="46"/>
      <c r="O81" s="46"/>
      <c r="P81" s="47"/>
      <c r="Q81" s="48"/>
      <c r="R81" s="48"/>
      <c r="S81" s="48"/>
      <c r="T81" s="48"/>
      <c r="U81" s="48"/>
      <c r="V81" s="48"/>
      <c r="W81" s="48"/>
      <c r="X81" s="48"/>
      <c r="AA81" s="16"/>
    </row>
    <row r="82" spans="3:27" x14ac:dyDescent="0.25">
      <c r="C82" s="66"/>
      <c r="E82">
        <v>3.5</v>
      </c>
      <c r="F82" s="46">
        <f t="shared" si="1"/>
        <v>27.125</v>
      </c>
      <c r="G82" s="46"/>
      <c r="H82" s="46"/>
      <c r="I82" s="46"/>
      <c r="J82" s="46"/>
      <c r="K82" s="46"/>
      <c r="L82" s="46"/>
      <c r="M82" s="46"/>
      <c r="N82" s="46"/>
      <c r="O82" s="46"/>
      <c r="P82" s="47"/>
      <c r="Q82" s="48"/>
      <c r="R82" s="48"/>
      <c r="S82" s="48"/>
      <c r="T82" s="48"/>
      <c r="U82" s="48"/>
      <c r="V82" s="48"/>
      <c r="W82" s="48"/>
      <c r="X82" s="48"/>
      <c r="AA82" s="16"/>
    </row>
    <row r="83" spans="3:27" x14ac:dyDescent="0.25">
      <c r="C83" s="66"/>
      <c r="E83">
        <v>3.5</v>
      </c>
      <c r="F83" s="46">
        <f t="shared" si="1"/>
        <v>27.125</v>
      </c>
      <c r="G83" s="46"/>
      <c r="H83" s="46"/>
      <c r="I83" s="46"/>
      <c r="J83" s="46"/>
      <c r="K83" s="46"/>
      <c r="L83" s="46"/>
      <c r="M83" s="46"/>
      <c r="N83" s="46"/>
      <c r="O83" s="46"/>
      <c r="P83" s="47"/>
      <c r="Q83" s="48"/>
      <c r="R83" s="48"/>
      <c r="S83" s="48"/>
      <c r="T83" s="48"/>
      <c r="U83" s="48"/>
      <c r="V83" s="48"/>
      <c r="W83" s="48"/>
      <c r="X83" s="48"/>
      <c r="AA83" s="16"/>
    </row>
    <row r="84" spans="3:27" x14ac:dyDescent="0.25">
      <c r="C84" s="66"/>
      <c r="E84">
        <v>3.5</v>
      </c>
      <c r="F84" s="49">
        <f>E84*F85</f>
        <v>27.125</v>
      </c>
      <c r="G84" s="46"/>
      <c r="H84" s="46"/>
      <c r="I84" s="46"/>
      <c r="J84" s="46"/>
      <c r="K84" s="46"/>
      <c r="L84" s="46"/>
      <c r="M84" s="46"/>
      <c r="N84" s="46"/>
      <c r="O84" s="46"/>
      <c r="P84" s="47"/>
      <c r="Q84" s="48"/>
      <c r="R84" s="48"/>
      <c r="S84" s="48"/>
      <c r="T84" s="48"/>
      <c r="U84" s="48"/>
      <c r="V84" s="48"/>
      <c r="W84" s="48"/>
      <c r="X84" s="48"/>
      <c r="AA84" s="16"/>
    </row>
    <row r="85" spans="3:27" x14ac:dyDescent="0.25">
      <c r="C85" s="66"/>
      <c r="F85" s="50">
        <v>7.75</v>
      </c>
      <c r="G85">
        <v>7.75</v>
      </c>
      <c r="H85">
        <v>7.75</v>
      </c>
      <c r="I85">
        <v>7.75</v>
      </c>
      <c r="J85">
        <v>7.75</v>
      </c>
      <c r="K85">
        <v>7.75</v>
      </c>
      <c r="L85">
        <v>7.75</v>
      </c>
      <c r="M85">
        <v>7.75</v>
      </c>
      <c r="N85">
        <v>7.75</v>
      </c>
      <c r="O85">
        <v>7.75</v>
      </c>
      <c r="P85">
        <v>6</v>
      </c>
      <c r="Q85">
        <v>6</v>
      </c>
      <c r="R85">
        <v>6</v>
      </c>
      <c r="S85">
        <v>6</v>
      </c>
      <c r="T85">
        <v>6</v>
      </c>
      <c r="U85">
        <v>6</v>
      </c>
      <c r="V85">
        <v>6</v>
      </c>
      <c r="W85">
        <v>6</v>
      </c>
      <c r="X85">
        <v>6</v>
      </c>
      <c r="AA85" s="16"/>
    </row>
    <row r="86" spans="3:27" x14ac:dyDescent="0.25">
      <c r="C86" s="66"/>
      <c r="AA86" s="16"/>
    </row>
    <row r="87" spans="3:27" ht="15.75" thickBot="1" x14ac:dyDescent="0.3">
      <c r="C87" s="66"/>
      <c r="AA87" s="16"/>
    </row>
    <row r="88" spans="3:27" x14ac:dyDescent="0.25">
      <c r="C88" s="67"/>
      <c r="D88" s="73"/>
      <c r="E88" s="69" t="s">
        <v>45</v>
      </c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70"/>
    </row>
    <row r="89" spans="3:27" ht="15.75" thickBot="1" x14ac:dyDescent="0.3">
      <c r="C89" s="68"/>
      <c r="D89" s="74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2"/>
    </row>
  </sheetData>
  <mergeCells count="17">
    <mergeCell ref="AF16:AG16"/>
    <mergeCell ref="Z16:AA16"/>
    <mergeCell ref="AC16:AD16"/>
    <mergeCell ref="C57:C89"/>
    <mergeCell ref="E88:AA89"/>
    <mergeCell ref="D88:D89"/>
    <mergeCell ref="L34:M34"/>
    <mergeCell ref="N34:O34"/>
    <mergeCell ref="A36:C36"/>
    <mergeCell ref="P34:Q34"/>
    <mergeCell ref="R34:S34"/>
    <mergeCell ref="T34:U34"/>
    <mergeCell ref="V34:W34"/>
    <mergeCell ref="D34:E34"/>
    <mergeCell ref="F34:G34"/>
    <mergeCell ref="H34:I34"/>
    <mergeCell ref="J34:K3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C0786-2087-4373-A34B-80732DEB6451}">
  <dimension ref="A1:AB64"/>
  <sheetViews>
    <sheetView tabSelected="1" topLeftCell="F1" zoomScale="91" zoomScaleNormal="91" workbookViewId="0">
      <selection activeCell="J18" sqref="J18"/>
    </sheetView>
  </sheetViews>
  <sheetFormatPr defaultColWidth="8.85546875" defaultRowHeight="15" x14ac:dyDescent="0.25"/>
  <cols>
    <col min="1" max="1" width="26.42578125" bestFit="1" customWidth="1"/>
    <col min="2" max="2" width="19.140625" bestFit="1" customWidth="1"/>
    <col min="3" max="3" width="19.140625" customWidth="1"/>
    <col min="4" max="4" width="31.85546875" customWidth="1"/>
    <col min="5" max="6" width="19.140625" customWidth="1"/>
    <col min="7" max="7" width="21.42578125" bestFit="1" customWidth="1"/>
    <col min="8" max="8" width="18.28515625" bestFit="1" customWidth="1"/>
    <col min="9" max="10" width="18.28515625" customWidth="1"/>
    <col min="11" max="11" width="16.7109375" bestFit="1" customWidth="1"/>
    <col min="12" max="12" width="14.85546875" bestFit="1" customWidth="1"/>
    <col min="13" max="13" width="20.140625" bestFit="1" customWidth="1"/>
    <col min="14" max="14" width="17.28515625" bestFit="1" customWidth="1"/>
    <col min="15" max="15" width="20.42578125" bestFit="1" customWidth="1"/>
    <col min="16" max="16" width="16" bestFit="1" customWidth="1"/>
    <col min="17" max="17" width="18.7109375" bestFit="1" customWidth="1"/>
    <col min="18" max="18" width="11.42578125" bestFit="1" customWidth="1"/>
    <col min="19" max="19" width="16" bestFit="1" customWidth="1"/>
    <col min="20" max="20" width="16.7109375" bestFit="1" customWidth="1"/>
    <col min="21" max="21" width="29.42578125" bestFit="1" customWidth="1"/>
    <col min="22" max="22" width="17.85546875" bestFit="1" customWidth="1"/>
    <col min="23" max="25" width="12.42578125" bestFit="1" customWidth="1"/>
    <col min="26" max="26" width="21.85546875" bestFit="1" customWidth="1"/>
    <col min="27" max="27" width="24.42578125" bestFit="1" customWidth="1"/>
    <col min="28" max="28" width="24.42578125" customWidth="1"/>
  </cols>
  <sheetData>
    <row r="1" spans="1:27" x14ac:dyDescent="0.25">
      <c r="A1" t="s">
        <v>38</v>
      </c>
      <c r="B1" t="s">
        <v>41</v>
      </c>
      <c r="C1" t="s">
        <v>51</v>
      </c>
      <c r="D1" t="s">
        <v>18</v>
      </c>
      <c r="E1" t="s">
        <v>0</v>
      </c>
      <c r="F1" t="s">
        <v>66</v>
      </c>
      <c r="G1" t="s">
        <v>43</v>
      </c>
      <c r="H1" t="s">
        <v>42</v>
      </c>
      <c r="K1" t="s">
        <v>40</v>
      </c>
      <c r="L1" t="s">
        <v>39</v>
      </c>
      <c r="M1" t="s">
        <v>56</v>
      </c>
      <c r="N1" t="s">
        <v>63</v>
      </c>
      <c r="O1" t="s">
        <v>50</v>
      </c>
      <c r="P1" t="s">
        <v>54</v>
      </c>
      <c r="Q1" t="s">
        <v>52</v>
      </c>
      <c r="R1" t="s">
        <v>53</v>
      </c>
      <c r="S1" t="s">
        <v>72</v>
      </c>
      <c r="T1" t="s">
        <v>68</v>
      </c>
      <c r="U1" t="s">
        <v>69</v>
      </c>
      <c r="V1" t="s">
        <v>71</v>
      </c>
      <c r="W1" t="s">
        <v>55</v>
      </c>
      <c r="X1" t="s">
        <v>2</v>
      </c>
      <c r="Y1" t="s">
        <v>57</v>
      </c>
      <c r="Z1" t="s">
        <v>73</v>
      </c>
      <c r="AA1" t="s">
        <v>74</v>
      </c>
    </row>
    <row r="2" spans="1:27" x14ac:dyDescent="0.25">
      <c r="A2">
        <v>174240</v>
      </c>
      <c r="B2">
        <v>1</v>
      </c>
      <c r="C2">
        <f>A2*B2</f>
        <v>174240</v>
      </c>
      <c r="D2" s="27">
        <f>SQRT(A2)</f>
        <v>417.42065114222606</v>
      </c>
      <c r="E2" s="27">
        <v>7.75</v>
      </c>
      <c r="F2" s="27">
        <v>6</v>
      </c>
      <c r="G2" s="28">
        <v>3.5</v>
      </c>
      <c r="H2" s="27">
        <f>E2*G2</f>
        <v>27.125</v>
      </c>
      <c r="I2" s="27"/>
      <c r="J2" s="27"/>
      <c r="K2" s="27">
        <f>D2</f>
        <v>417.42065114222606</v>
      </c>
      <c r="L2" s="51">
        <f>C2/D2</f>
        <v>417.42065114222606</v>
      </c>
      <c r="M2" s="1">
        <f>ROUNDDOWN(D2/G2,0)</f>
        <v>119</v>
      </c>
      <c r="N2" s="28">
        <f>ROUNDDOWN(L2/(E2+F2),0)</f>
        <v>30</v>
      </c>
      <c r="O2" s="1">
        <f>M2*N2</f>
        <v>3570</v>
      </c>
      <c r="P2" s="28">
        <f>N2</f>
        <v>30</v>
      </c>
      <c r="Q2" s="27">
        <f>L2</f>
        <v>417.42065114222606</v>
      </c>
      <c r="R2" s="28">
        <f>K2-Q2</f>
        <v>0</v>
      </c>
      <c r="S2" s="28">
        <f>R2/P2</f>
        <v>0</v>
      </c>
      <c r="T2" s="27">
        <f>M2*N2*B19</f>
        <v>1945.65</v>
      </c>
      <c r="U2" s="35">
        <f>T2*$B20*B2</f>
        <v>3208376.85</v>
      </c>
      <c r="V2">
        <f>12.4/100</f>
        <v>0.124</v>
      </c>
      <c r="W2" s="52">
        <f>U2*V2</f>
        <v>397838.72940000001</v>
      </c>
      <c r="X2" s="61">
        <v>39209.209820000004</v>
      </c>
      <c r="Y2" s="52">
        <f>W2-X2</f>
        <v>358629.51958000002</v>
      </c>
      <c r="Z2">
        <v>2.62</v>
      </c>
      <c r="AA2">
        <v>3.38</v>
      </c>
    </row>
    <row r="3" spans="1:27" x14ac:dyDescent="0.25">
      <c r="A3">
        <v>174240</v>
      </c>
      <c r="B3">
        <v>0.9</v>
      </c>
      <c r="C3">
        <f>A3*B3</f>
        <v>156816</v>
      </c>
      <c r="D3" s="27">
        <f t="shared" ref="D3:D12" si="0">SQRT(A3)</f>
        <v>417.42065114222606</v>
      </c>
      <c r="E3" s="27">
        <v>7.75</v>
      </c>
      <c r="F3" s="27"/>
      <c r="G3" s="28">
        <v>3.5</v>
      </c>
      <c r="H3" s="27">
        <f t="shared" ref="H3:H11" si="1">E3*G3</f>
        <v>27.125</v>
      </c>
      <c r="I3" s="27"/>
      <c r="J3" s="27"/>
      <c r="K3" s="27">
        <f>D3</f>
        <v>417.42065114222606</v>
      </c>
      <c r="L3" s="51">
        <f>C3/K3</f>
        <v>375.67858602800345</v>
      </c>
      <c r="M3" s="1">
        <f t="shared" ref="M3:M12" si="2">ROUNDDOWN(D3/G3,0)</f>
        <v>119</v>
      </c>
      <c r="N3" s="28">
        <f>0.9*N2</f>
        <v>27</v>
      </c>
      <c r="O3" s="1">
        <f>M3*N3</f>
        <v>3213</v>
      </c>
      <c r="P3" s="28">
        <f>N3</f>
        <v>27</v>
      </c>
      <c r="Q3" s="27">
        <f>L3</f>
        <v>375.67858602800345</v>
      </c>
      <c r="R3" s="28">
        <f>K3-Q3</f>
        <v>41.742065114222612</v>
      </c>
      <c r="S3" s="28">
        <f>R3/P3</f>
        <v>1.5460024116378746</v>
      </c>
      <c r="T3" s="27">
        <f>M3*N3*B19</f>
        <v>1751.085</v>
      </c>
      <c r="U3" s="35">
        <f>0.9*U2</f>
        <v>2887539.165</v>
      </c>
      <c r="V3">
        <f t="shared" ref="V3:V11" si="3">12.4/100</f>
        <v>0.124</v>
      </c>
      <c r="W3" s="52">
        <f t="shared" ref="W3:W12" si="4">U3*V3</f>
        <v>358054.85645999998</v>
      </c>
      <c r="X3" s="52">
        <f>0.9*X2</f>
        <v>35288.288838000008</v>
      </c>
      <c r="Y3" s="52">
        <f>W3-X3</f>
        <v>322766.567622</v>
      </c>
      <c r="Z3">
        <v>2.62</v>
      </c>
      <c r="AA3">
        <v>3.38</v>
      </c>
    </row>
    <row r="4" spans="1:27" x14ac:dyDescent="0.25">
      <c r="A4">
        <v>174240</v>
      </c>
      <c r="B4">
        <v>0.8</v>
      </c>
      <c r="C4">
        <f t="shared" ref="C4:C12" si="5">A4*B4</f>
        <v>139392</v>
      </c>
      <c r="D4" s="27">
        <f t="shared" si="0"/>
        <v>417.42065114222606</v>
      </c>
      <c r="E4" s="27">
        <v>7.75</v>
      </c>
      <c r="F4" s="27"/>
      <c r="G4" s="28">
        <v>3.5</v>
      </c>
      <c r="H4" s="27">
        <f t="shared" si="1"/>
        <v>27.125</v>
      </c>
      <c r="I4" s="27"/>
      <c r="J4" s="27"/>
      <c r="K4" s="27">
        <f t="shared" ref="K4:K11" si="6">D4</f>
        <v>417.42065114222606</v>
      </c>
      <c r="L4" s="51">
        <f>C4/D4</f>
        <v>333.93652091378084</v>
      </c>
      <c r="M4" s="1">
        <f t="shared" si="2"/>
        <v>119</v>
      </c>
      <c r="N4" s="28">
        <f>0.8*N2</f>
        <v>24</v>
      </c>
      <c r="O4" s="1">
        <f>M4*N4</f>
        <v>2856</v>
      </c>
      <c r="P4" s="28">
        <f t="shared" ref="P4:P12" si="7">N4</f>
        <v>24</v>
      </c>
      <c r="Q4" s="27">
        <f t="shared" ref="Q4:Q12" si="8">L4</f>
        <v>333.93652091378084</v>
      </c>
      <c r="R4" s="28">
        <f t="shared" ref="R4:R12" si="9">K4-Q4</f>
        <v>83.484130228445224</v>
      </c>
      <c r="S4" s="28">
        <f t="shared" ref="S4:S12" si="10">R4/P4</f>
        <v>3.4785054261852175</v>
      </c>
      <c r="T4" s="27">
        <f>M4*N4*B19</f>
        <v>1556.5200000000002</v>
      </c>
      <c r="U4" s="35">
        <f>0.8*U2</f>
        <v>2566701.4800000004</v>
      </c>
      <c r="V4">
        <f t="shared" si="3"/>
        <v>0.124</v>
      </c>
      <c r="W4" s="52">
        <f t="shared" si="4"/>
        <v>318270.98352000007</v>
      </c>
      <c r="X4" s="52">
        <f>0.8*X3</f>
        <v>28230.631070400006</v>
      </c>
      <c r="Y4" s="52">
        <f>W4-X4</f>
        <v>290040.35244960006</v>
      </c>
      <c r="Z4">
        <v>2.62</v>
      </c>
      <c r="AA4">
        <v>3.38</v>
      </c>
    </row>
    <row r="5" spans="1:27" x14ac:dyDescent="0.25">
      <c r="A5">
        <v>174240</v>
      </c>
      <c r="B5">
        <v>0.7</v>
      </c>
      <c r="C5">
        <f t="shared" si="5"/>
        <v>121967.99999999999</v>
      </c>
      <c r="D5" s="27">
        <f t="shared" si="0"/>
        <v>417.42065114222606</v>
      </c>
      <c r="E5" s="27">
        <v>7.75</v>
      </c>
      <c r="F5" s="27"/>
      <c r="G5" s="28">
        <v>3.5</v>
      </c>
      <c r="H5" s="27">
        <f t="shared" si="1"/>
        <v>27.125</v>
      </c>
      <c r="I5" s="27"/>
      <c r="J5" s="27"/>
      <c r="K5" s="27">
        <f t="shared" si="6"/>
        <v>417.42065114222606</v>
      </c>
      <c r="L5" s="51">
        <f>C5/D5</f>
        <v>292.19445579955823</v>
      </c>
      <c r="M5" s="1">
        <f>ROUNDDOWN(D5/G5,0)</f>
        <v>119</v>
      </c>
      <c r="N5" s="28">
        <f>0.7*N2</f>
        <v>21</v>
      </c>
      <c r="O5" s="1">
        <f>M5*N5</f>
        <v>2499</v>
      </c>
      <c r="P5" s="28">
        <f t="shared" si="7"/>
        <v>21</v>
      </c>
      <c r="Q5" s="27">
        <f t="shared" si="8"/>
        <v>292.19445579955823</v>
      </c>
      <c r="R5" s="28">
        <f t="shared" si="9"/>
        <v>125.22619534266784</v>
      </c>
      <c r="S5" s="28">
        <f t="shared" si="10"/>
        <v>5.9631521591746592</v>
      </c>
      <c r="T5" s="27">
        <f>M5*N5*B19</f>
        <v>1361.9550000000002</v>
      </c>
      <c r="U5" s="35">
        <f>0.7*U2</f>
        <v>2245863.7949999999</v>
      </c>
      <c r="V5">
        <f t="shared" si="3"/>
        <v>0.124</v>
      </c>
      <c r="W5" s="52">
        <f t="shared" si="4"/>
        <v>278487.11057999998</v>
      </c>
      <c r="X5" s="52">
        <f>0.7*X4</f>
        <v>19761.441749280002</v>
      </c>
      <c r="Y5" s="52">
        <f t="shared" ref="Y5:Y12" si="11">W5-X5</f>
        <v>258725.66883071998</v>
      </c>
      <c r="Z5">
        <v>2.62</v>
      </c>
      <c r="AA5">
        <v>3.38</v>
      </c>
    </row>
    <row r="6" spans="1:27" x14ac:dyDescent="0.25">
      <c r="A6">
        <v>174240</v>
      </c>
      <c r="B6">
        <v>0.6</v>
      </c>
      <c r="C6">
        <f t="shared" si="5"/>
        <v>104544</v>
      </c>
      <c r="D6" s="27">
        <f t="shared" si="0"/>
        <v>417.42065114222606</v>
      </c>
      <c r="E6" s="27">
        <v>7.75</v>
      </c>
      <c r="F6" s="27"/>
      <c r="G6" s="28">
        <v>3.5</v>
      </c>
      <c r="H6" s="27">
        <f t="shared" si="1"/>
        <v>27.125</v>
      </c>
      <c r="I6" s="27"/>
      <c r="J6" s="27"/>
      <c r="K6" s="27">
        <f t="shared" si="6"/>
        <v>417.42065114222606</v>
      </c>
      <c r="L6" s="51">
        <f>C6/D6</f>
        <v>250.45239068533564</v>
      </c>
      <c r="M6" s="1">
        <f>ROUNDDOWN(D6/G6,0)</f>
        <v>119</v>
      </c>
      <c r="N6" s="28">
        <f>0.6*N2</f>
        <v>18</v>
      </c>
      <c r="O6" s="1">
        <f t="shared" ref="O6:O12" si="12">M6*N6</f>
        <v>2142</v>
      </c>
      <c r="P6" s="28">
        <f t="shared" si="7"/>
        <v>18</v>
      </c>
      <c r="Q6" s="27">
        <f t="shared" si="8"/>
        <v>250.45239068533564</v>
      </c>
      <c r="R6" s="28">
        <f t="shared" si="9"/>
        <v>166.96826045689042</v>
      </c>
      <c r="S6" s="28">
        <f t="shared" si="10"/>
        <v>9.2760144698272455</v>
      </c>
      <c r="T6" s="27">
        <f>M6*N6*B19</f>
        <v>1167.3900000000001</v>
      </c>
      <c r="U6" s="35">
        <f>0.6*U2</f>
        <v>1925026.1099999999</v>
      </c>
      <c r="V6">
        <f t="shared" si="3"/>
        <v>0.124</v>
      </c>
      <c r="W6" s="52">
        <f t="shared" si="4"/>
        <v>238703.23763999998</v>
      </c>
      <c r="X6" s="52">
        <f>0.6*X5</f>
        <v>11856.865049568001</v>
      </c>
      <c r="Y6" s="52">
        <f t="shared" si="11"/>
        <v>226846.37259043197</v>
      </c>
      <c r="Z6">
        <v>2.62</v>
      </c>
      <c r="AA6">
        <v>3.38</v>
      </c>
    </row>
    <row r="7" spans="1:27" x14ac:dyDescent="0.25">
      <c r="A7">
        <v>174240</v>
      </c>
      <c r="B7">
        <v>0.5</v>
      </c>
      <c r="C7">
        <f t="shared" si="5"/>
        <v>87120</v>
      </c>
      <c r="D7" s="27">
        <f t="shared" si="0"/>
        <v>417.42065114222606</v>
      </c>
      <c r="E7" s="27">
        <v>7.75</v>
      </c>
      <c r="F7" s="27"/>
      <c r="G7" s="28">
        <v>3.5</v>
      </c>
      <c r="H7" s="27">
        <f t="shared" si="1"/>
        <v>27.125</v>
      </c>
      <c r="I7" s="27"/>
      <c r="J7" s="27"/>
      <c r="K7" s="27">
        <f t="shared" si="6"/>
        <v>417.42065114222606</v>
      </c>
      <c r="L7" s="51">
        <f t="shared" ref="L7:L12" si="13">C7/K7</f>
        <v>208.71032557111303</v>
      </c>
      <c r="M7" s="1">
        <f t="shared" si="2"/>
        <v>119</v>
      </c>
      <c r="N7" s="28">
        <f>0.5*N2</f>
        <v>15</v>
      </c>
      <c r="O7" s="1">
        <f t="shared" si="12"/>
        <v>1785</v>
      </c>
      <c r="P7" s="28">
        <f t="shared" si="7"/>
        <v>15</v>
      </c>
      <c r="Q7" s="27">
        <f t="shared" si="8"/>
        <v>208.71032557111303</v>
      </c>
      <c r="R7" s="28">
        <f t="shared" si="9"/>
        <v>208.71032557111303</v>
      </c>
      <c r="S7" s="28">
        <f t="shared" si="10"/>
        <v>13.914021704740868</v>
      </c>
      <c r="T7" s="27">
        <f>M7*N7*B19</f>
        <v>972.82500000000005</v>
      </c>
      <c r="U7" s="35">
        <f>0.5*U2</f>
        <v>1604188.425</v>
      </c>
      <c r="V7">
        <f t="shared" si="3"/>
        <v>0.124</v>
      </c>
      <c r="W7" s="52">
        <f t="shared" si="4"/>
        <v>198919.36470000001</v>
      </c>
      <c r="X7" s="52">
        <f>0.5*X6</f>
        <v>5928.4325247840006</v>
      </c>
      <c r="Y7" s="52">
        <f t="shared" si="11"/>
        <v>192990.932175216</v>
      </c>
      <c r="Z7">
        <v>2.62</v>
      </c>
      <c r="AA7">
        <v>3.38</v>
      </c>
    </row>
    <row r="8" spans="1:27" x14ac:dyDescent="0.25">
      <c r="A8">
        <v>174240</v>
      </c>
      <c r="B8">
        <v>0.4</v>
      </c>
      <c r="C8">
        <f t="shared" si="5"/>
        <v>69696</v>
      </c>
      <c r="D8" s="27">
        <f t="shared" si="0"/>
        <v>417.42065114222606</v>
      </c>
      <c r="E8" s="27">
        <v>7.75</v>
      </c>
      <c r="F8" s="27"/>
      <c r="G8" s="28">
        <v>3.5</v>
      </c>
      <c r="H8" s="27">
        <f t="shared" si="1"/>
        <v>27.125</v>
      </c>
      <c r="I8" s="27"/>
      <c r="J8" s="27"/>
      <c r="K8" s="27">
        <f t="shared" si="6"/>
        <v>417.42065114222606</v>
      </c>
      <c r="L8" s="51">
        <f t="shared" si="13"/>
        <v>166.96826045689042</v>
      </c>
      <c r="M8" s="1">
        <f t="shared" si="2"/>
        <v>119</v>
      </c>
      <c r="N8" s="28">
        <f>0.4*N2</f>
        <v>12</v>
      </c>
      <c r="O8" s="1">
        <f t="shared" si="12"/>
        <v>1428</v>
      </c>
      <c r="P8" s="28">
        <f t="shared" si="7"/>
        <v>12</v>
      </c>
      <c r="Q8" s="27">
        <f t="shared" si="8"/>
        <v>166.96826045689042</v>
      </c>
      <c r="R8" s="28">
        <f t="shared" si="9"/>
        <v>250.45239068533564</v>
      </c>
      <c r="S8" s="28">
        <f t="shared" si="10"/>
        <v>20.871032557111302</v>
      </c>
      <c r="T8" s="27">
        <f>M8*N8*B19</f>
        <v>778.2600000000001</v>
      </c>
      <c r="U8" s="35">
        <f>0.4*U2</f>
        <v>1283350.7400000002</v>
      </c>
      <c r="V8">
        <f t="shared" si="3"/>
        <v>0.124</v>
      </c>
      <c r="W8" s="52">
        <f t="shared" si="4"/>
        <v>159135.49176000003</v>
      </c>
      <c r="X8" s="52">
        <f>0.4*X7</f>
        <v>2371.3730099136005</v>
      </c>
      <c r="Y8" s="52">
        <f t="shared" si="11"/>
        <v>156764.11875008643</v>
      </c>
      <c r="Z8">
        <v>2.62</v>
      </c>
      <c r="AA8">
        <v>3.38</v>
      </c>
    </row>
    <row r="9" spans="1:27" x14ac:dyDescent="0.25">
      <c r="A9">
        <v>174240</v>
      </c>
      <c r="B9">
        <v>0.3</v>
      </c>
      <c r="C9">
        <f t="shared" si="5"/>
        <v>52272</v>
      </c>
      <c r="D9" s="27">
        <f t="shared" si="0"/>
        <v>417.42065114222606</v>
      </c>
      <c r="E9" s="27">
        <v>7.75</v>
      </c>
      <c r="F9" s="27"/>
      <c r="G9" s="28">
        <v>3.5</v>
      </c>
      <c r="H9" s="27">
        <f t="shared" si="1"/>
        <v>27.125</v>
      </c>
      <c r="I9" s="27"/>
      <c r="J9" s="27"/>
      <c r="K9" s="27">
        <f t="shared" si="6"/>
        <v>417.42065114222606</v>
      </c>
      <c r="L9" s="51">
        <f t="shared" si="13"/>
        <v>125.22619534266782</v>
      </c>
      <c r="M9" s="1">
        <f t="shared" si="2"/>
        <v>119</v>
      </c>
      <c r="N9" s="28">
        <f>0.3*N2</f>
        <v>9</v>
      </c>
      <c r="O9" s="1">
        <f t="shared" si="12"/>
        <v>1071</v>
      </c>
      <c r="P9" s="28">
        <f t="shared" si="7"/>
        <v>9</v>
      </c>
      <c r="Q9" s="27">
        <f t="shared" si="8"/>
        <v>125.22619534266782</v>
      </c>
      <c r="R9" s="28">
        <f t="shared" si="9"/>
        <v>292.19445579955823</v>
      </c>
      <c r="S9" s="28">
        <f t="shared" si="10"/>
        <v>32.466050644395359</v>
      </c>
      <c r="T9" s="27">
        <f>M9*N9*B19</f>
        <v>583.69500000000005</v>
      </c>
      <c r="U9" s="35">
        <f>0.3*U2</f>
        <v>962513.05499999993</v>
      </c>
      <c r="V9">
        <f>12.4/100</f>
        <v>0.124</v>
      </c>
      <c r="W9" s="52">
        <f>U9*V9</f>
        <v>119351.61881999999</v>
      </c>
      <c r="X9" s="52">
        <f>0.3*X8</f>
        <v>711.41190297408014</v>
      </c>
      <c r="Y9" s="52">
        <f>W9-X9</f>
        <v>118640.20691702591</v>
      </c>
      <c r="Z9">
        <v>2.62</v>
      </c>
      <c r="AA9">
        <v>3.38</v>
      </c>
    </row>
    <row r="10" spans="1:27" x14ac:dyDescent="0.25">
      <c r="A10">
        <v>174240</v>
      </c>
      <c r="B10">
        <v>0.2</v>
      </c>
      <c r="C10">
        <f t="shared" si="5"/>
        <v>34848</v>
      </c>
      <c r="D10" s="27">
        <f t="shared" si="0"/>
        <v>417.42065114222606</v>
      </c>
      <c r="E10" s="27">
        <v>7.75</v>
      </c>
      <c r="F10" s="27"/>
      <c r="G10" s="28">
        <v>3.5</v>
      </c>
      <c r="H10" s="27">
        <f t="shared" si="1"/>
        <v>27.125</v>
      </c>
      <c r="I10" s="27"/>
      <c r="J10" s="27"/>
      <c r="K10" s="27">
        <f t="shared" si="6"/>
        <v>417.42065114222606</v>
      </c>
      <c r="L10" s="51">
        <f t="shared" si="13"/>
        <v>83.48413022844521</v>
      </c>
      <c r="M10" s="1">
        <f t="shared" si="2"/>
        <v>119</v>
      </c>
      <c r="N10" s="28">
        <f>0.2*N2</f>
        <v>6</v>
      </c>
      <c r="O10" s="1">
        <f t="shared" si="12"/>
        <v>714</v>
      </c>
      <c r="P10" s="28">
        <f t="shared" si="7"/>
        <v>6</v>
      </c>
      <c r="Q10" s="27">
        <f t="shared" si="8"/>
        <v>83.48413022844521</v>
      </c>
      <c r="R10" s="28">
        <f t="shared" si="9"/>
        <v>333.93652091378084</v>
      </c>
      <c r="S10" s="28">
        <f t="shared" si="10"/>
        <v>55.656086818963473</v>
      </c>
      <c r="T10" s="27">
        <f>M10*N10*B19</f>
        <v>389.13000000000005</v>
      </c>
      <c r="U10" s="35">
        <f>0.2*U2</f>
        <v>641675.37000000011</v>
      </c>
      <c r="V10">
        <f t="shared" si="3"/>
        <v>0.124</v>
      </c>
      <c r="W10" s="52">
        <f>U10*V10</f>
        <v>79567.745880000017</v>
      </c>
      <c r="X10" s="52">
        <f>0.2*X9</f>
        <v>142.28238059481603</v>
      </c>
      <c r="Y10" s="52">
        <f t="shared" si="11"/>
        <v>79425.463499405203</v>
      </c>
      <c r="Z10">
        <v>2.62</v>
      </c>
      <c r="AA10">
        <v>3.38</v>
      </c>
    </row>
    <row r="11" spans="1:27" x14ac:dyDescent="0.25">
      <c r="A11">
        <v>174240</v>
      </c>
      <c r="B11">
        <v>0.1</v>
      </c>
      <c r="C11">
        <f t="shared" si="5"/>
        <v>17424</v>
      </c>
      <c r="D11" s="27">
        <f t="shared" si="0"/>
        <v>417.42065114222606</v>
      </c>
      <c r="E11" s="27">
        <v>7.75</v>
      </c>
      <c r="F11" s="27"/>
      <c r="G11" s="28">
        <v>3.5</v>
      </c>
      <c r="H11" s="27">
        <f t="shared" si="1"/>
        <v>27.125</v>
      </c>
      <c r="I11" s="27"/>
      <c r="J11" s="27"/>
      <c r="K11" s="27">
        <f t="shared" si="6"/>
        <v>417.42065114222606</v>
      </c>
      <c r="L11" s="51">
        <f t="shared" si="13"/>
        <v>41.742065114222605</v>
      </c>
      <c r="M11" s="1">
        <f t="shared" si="2"/>
        <v>119</v>
      </c>
      <c r="N11" s="28">
        <f>0.1*N2</f>
        <v>3</v>
      </c>
      <c r="O11" s="1">
        <f t="shared" si="12"/>
        <v>357</v>
      </c>
      <c r="P11" s="28">
        <f t="shared" si="7"/>
        <v>3</v>
      </c>
      <c r="Q11" s="27">
        <f t="shared" si="8"/>
        <v>41.742065114222605</v>
      </c>
      <c r="R11" s="28">
        <f t="shared" si="9"/>
        <v>375.67858602800345</v>
      </c>
      <c r="S11" s="28">
        <f t="shared" si="10"/>
        <v>125.22619534266782</v>
      </c>
      <c r="T11" s="27">
        <f>M11*N11*B19</f>
        <v>194.56500000000003</v>
      </c>
      <c r="U11" s="35">
        <f>0.1*U2</f>
        <v>320837.68500000006</v>
      </c>
      <c r="V11">
        <f t="shared" si="3"/>
        <v>0.124</v>
      </c>
      <c r="W11" s="52">
        <f t="shared" si="4"/>
        <v>39783.872940000008</v>
      </c>
      <c r="X11" s="52">
        <f>0.1*X10</f>
        <v>14.228238059481605</v>
      </c>
      <c r="Y11" s="52">
        <f t="shared" si="11"/>
        <v>39769.644701940524</v>
      </c>
      <c r="Z11">
        <v>2.62</v>
      </c>
      <c r="AA11">
        <v>3.38</v>
      </c>
    </row>
    <row r="12" spans="1:27" x14ac:dyDescent="0.25">
      <c r="A12">
        <v>174240</v>
      </c>
      <c r="B12">
        <v>0</v>
      </c>
      <c r="C12">
        <f t="shared" si="5"/>
        <v>0</v>
      </c>
      <c r="D12" s="27">
        <f t="shared" si="0"/>
        <v>417.42065114222606</v>
      </c>
      <c r="E12" s="27">
        <v>7.75</v>
      </c>
      <c r="F12" s="27"/>
      <c r="G12" s="28">
        <v>3.5</v>
      </c>
      <c r="H12" s="27">
        <f>E12*G12</f>
        <v>27.125</v>
      </c>
      <c r="I12" s="27"/>
      <c r="J12" s="27"/>
      <c r="K12" s="27">
        <f>D12</f>
        <v>417.42065114222606</v>
      </c>
      <c r="L12" s="51">
        <f t="shared" si="13"/>
        <v>0</v>
      </c>
      <c r="M12" s="1">
        <f t="shared" si="2"/>
        <v>119</v>
      </c>
      <c r="N12" s="28">
        <f>0*N2</f>
        <v>0</v>
      </c>
      <c r="O12" s="1">
        <f t="shared" si="12"/>
        <v>0</v>
      </c>
      <c r="P12" s="28">
        <f t="shared" si="7"/>
        <v>0</v>
      </c>
      <c r="Q12" s="27">
        <f t="shared" si="8"/>
        <v>0</v>
      </c>
      <c r="R12" s="28">
        <f t="shared" si="9"/>
        <v>417.42065114222606</v>
      </c>
      <c r="S12" s="28" t="e">
        <f t="shared" si="10"/>
        <v>#DIV/0!</v>
      </c>
      <c r="T12" s="27">
        <f>M12*N12*B19</f>
        <v>0</v>
      </c>
      <c r="U12" s="35">
        <f>0*U2</f>
        <v>0</v>
      </c>
      <c r="V12">
        <f>12.4/100</f>
        <v>0.124</v>
      </c>
      <c r="W12" s="52">
        <f t="shared" si="4"/>
        <v>0</v>
      </c>
      <c r="X12" s="52">
        <f>0*X2</f>
        <v>0</v>
      </c>
      <c r="Y12" s="52">
        <f t="shared" si="11"/>
        <v>0</v>
      </c>
      <c r="Z12">
        <v>2.62</v>
      </c>
      <c r="AA12">
        <v>3.38</v>
      </c>
    </row>
    <row r="14" spans="1:27" x14ac:dyDescent="0.25">
      <c r="A14" t="s">
        <v>59</v>
      </c>
      <c r="B14" s="27">
        <f>(B15/B18)*(B19/1000)</f>
        <v>6.1662857142857144E-2</v>
      </c>
      <c r="O14" s="35"/>
    </row>
    <row r="15" spans="1:27" x14ac:dyDescent="0.25">
      <c r="A15" t="s">
        <v>58</v>
      </c>
      <c r="B15">
        <v>396</v>
      </c>
    </row>
    <row r="16" spans="1:27" ht="15.75" thickBot="1" x14ac:dyDescent="0.3">
      <c r="A16" t="s">
        <v>60</v>
      </c>
      <c r="L16" t="s">
        <v>16</v>
      </c>
      <c r="M16" t="s">
        <v>17</v>
      </c>
      <c r="N16" t="s">
        <v>16</v>
      </c>
      <c r="O16" t="s">
        <v>17</v>
      </c>
      <c r="P16" t="s">
        <v>16</v>
      </c>
      <c r="Q16" t="s">
        <v>17</v>
      </c>
      <c r="R16" t="s">
        <v>16</v>
      </c>
      <c r="S16" t="s">
        <v>17</v>
      </c>
      <c r="T16" t="s">
        <v>16</v>
      </c>
      <c r="U16" t="s">
        <v>17</v>
      </c>
      <c r="V16" t="s">
        <v>16</v>
      </c>
      <c r="W16" t="s">
        <v>17</v>
      </c>
      <c r="X16" t="s">
        <v>16</v>
      </c>
      <c r="Y16" t="s">
        <v>17</v>
      </c>
      <c r="Z16" t="s">
        <v>16</v>
      </c>
      <c r="AA16" t="s">
        <v>17</v>
      </c>
    </row>
    <row r="17" spans="1:28" x14ac:dyDescent="0.25">
      <c r="A17" t="s">
        <v>61</v>
      </c>
      <c r="B17">
        <v>7.75</v>
      </c>
      <c r="D17" s="17" t="s">
        <v>14</v>
      </c>
      <c r="E17" s="18">
        <v>4</v>
      </c>
      <c r="K17">
        <v>3.5</v>
      </c>
      <c r="L17" s="21"/>
      <c r="M17" s="24"/>
      <c r="N17" s="21"/>
      <c r="O17" s="24"/>
      <c r="P17" s="21"/>
      <c r="Q17" s="24"/>
      <c r="R17" s="21"/>
      <c r="S17" s="24"/>
      <c r="T17" s="21"/>
      <c r="U17" s="24"/>
      <c r="V17" s="21"/>
      <c r="W17" s="24"/>
      <c r="X17" s="21"/>
      <c r="Y17" s="24"/>
      <c r="Z17" s="21"/>
      <c r="AA17" s="24"/>
      <c r="AB17" s="57"/>
    </row>
    <row r="18" spans="1:28" x14ac:dyDescent="0.25">
      <c r="A18" t="s">
        <v>62</v>
      </c>
      <c r="B18">
        <v>3.5</v>
      </c>
      <c r="D18" s="19" t="s">
        <v>19</v>
      </c>
      <c r="E18" s="31">
        <v>43560</v>
      </c>
      <c r="K18">
        <v>3.5</v>
      </c>
      <c r="L18" s="22"/>
      <c r="M18" s="25"/>
      <c r="N18" s="22"/>
      <c r="O18" s="25"/>
      <c r="P18" s="22"/>
      <c r="Q18" s="25"/>
      <c r="R18" s="22"/>
      <c r="S18" s="25"/>
      <c r="T18" s="22"/>
      <c r="U18" s="25"/>
      <c r="V18" s="22"/>
      <c r="W18" s="25"/>
      <c r="X18" s="22"/>
      <c r="Y18" s="25"/>
      <c r="Z18" s="22"/>
      <c r="AA18" s="25"/>
      <c r="AB18" s="58"/>
    </row>
    <row r="19" spans="1:28" x14ac:dyDescent="0.25">
      <c r="A19" t="s">
        <v>67</v>
      </c>
      <c r="B19">
        <f>545/1000</f>
        <v>0.54500000000000004</v>
      </c>
      <c r="D19" s="19" t="s">
        <v>15</v>
      </c>
      <c r="E19" s="20">
        <f>E17*E18</f>
        <v>174240</v>
      </c>
      <c r="K19">
        <v>3.5</v>
      </c>
      <c r="L19" s="22"/>
      <c r="M19" s="25"/>
      <c r="N19" s="22"/>
      <c r="O19" s="25"/>
      <c r="P19" s="22"/>
      <c r="Q19" s="25"/>
      <c r="R19" s="22"/>
      <c r="S19" s="25"/>
      <c r="T19" s="22"/>
      <c r="U19" s="25"/>
      <c r="V19" s="22"/>
      <c r="W19" s="25"/>
      <c r="X19" s="22"/>
      <c r="Y19" s="25"/>
      <c r="Z19" s="22"/>
      <c r="AA19" s="25"/>
      <c r="AB19" s="58"/>
    </row>
    <row r="20" spans="1:28" x14ac:dyDescent="0.25">
      <c r="A20" t="s">
        <v>64</v>
      </c>
      <c r="B20" s="13">
        <v>1649</v>
      </c>
      <c r="D20" s="19" t="s">
        <v>18</v>
      </c>
      <c r="E20" s="32">
        <f>SQRT(E19)</f>
        <v>417.42065114222606</v>
      </c>
      <c r="K20">
        <v>3.5</v>
      </c>
      <c r="L20" s="22"/>
      <c r="M20" s="25"/>
      <c r="N20" s="22"/>
      <c r="O20" s="25"/>
      <c r="P20" s="22"/>
      <c r="Q20" s="25"/>
      <c r="R20" s="22"/>
      <c r="S20" s="25"/>
      <c r="T20" s="22"/>
      <c r="U20" s="25"/>
      <c r="V20" s="22"/>
      <c r="W20" s="25"/>
      <c r="X20" s="22"/>
      <c r="Y20" s="25"/>
      <c r="Z20" s="22"/>
      <c r="AA20" s="25"/>
      <c r="AB20" s="58"/>
    </row>
    <row r="21" spans="1:28" ht="15.75" thickBot="1" x14ac:dyDescent="0.3">
      <c r="D21" s="55" t="s">
        <v>20</v>
      </c>
      <c r="E21" s="32">
        <f>ROUNDDOWN(E20/L48,0)</f>
        <v>30</v>
      </c>
      <c r="K21">
        <v>3.5</v>
      </c>
      <c r="L21" s="22"/>
      <c r="M21" s="25"/>
      <c r="N21" s="22"/>
      <c r="O21" s="25"/>
      <c r="P21" s="22"/>
      <c r="Q21" s="25"/>
      <c r="R21" s="22"/>
      <c r="S21" s="25"/>
      <c r="T21" s="22"/>
      <c r="U21" s="25"/>
      <c r="V21" s="22"/>
      <c r="W21" s="25"/>
      <c r="X21" s="22"/>
      <c r="Y21" s="25"/>
      <c r="Z21" s="22"/>
      <c r="AA21" s="25"/>
      <c r="AB21" s="58"/>
    </row>
    <row r="22" spans="1:28" ht="15.75" thickBot="1" x14ac:dyDescent="0.3">
      <c r="D22" s="9" t="s">
        <v>21</v>
      </c>
      <c r="E22" s="54">
        <f>ROUNDDOWN(E20/K45,0)</f>
        <v>119</v>
      </c>
      <c r="K22">
        <v>3.5</v>
      </c>
      <c r="L22" s="22"/>
      <c r="M22" s="25"/>
      <c r="N22" s="22"/>
      <c r="O22" s="25"/>
      <c r="P22" s="22"/>
      <c r="Q22" s="25"/>
      <c r="R22" s="22"/>
      <c r="S22" s="25"/>
      <c r="T22" s="22"/>
      <c r="U22" s="25"/>
      <c r="V22" s="22"/>
      <c r="W22" s="25"/>
      <c r="X22" s="22"/>
      <c r="Y22" s="25"/>
      <c r="Z22" s="22"/>
      <c r="AA22" s="25"/>
      <c r="AB22" s="58"/>
    </row>
    <row r="23" spans="1:28" ht="15.75" thickBot="1" x14ac:dyDescent="0.3">
      <c r="A23" s="76" t="s">
        <v>33</v>
      </c>
      <c r="B23" s="76"/>
      <c r="C23" s="76"/>
      <c r="D23" s="39" t="s">
        <v>22</v>
      </c>
      <c r="E23" s="11">
        <f>E21*E22</f>
        <v>3570</v>
      </c>
      <c r="K23">
        <v>3.5</v>
      </c>
      <c r="L23" s="22"/>
      <c r="M23" s="25"/>
      <c r="N23" s="22"/>
      <c r="O23" s="25"/>
      <c r="P23" s="22"/>
      <c r="Q23" s="25"/>
      <c r="R23" s="22"/>
      <c r="S23" s="25"/>
      <c r="T23" s="22"/>
      <c r="U23" s="25"/>
      <c r="V23" s="22"/>
      <c r="W23" s="25"/>
      <c r="X23" s="22"/>
      <c r="Y23" s="25"/>
      <c r="Z23" s="22"/>
      <c r="AA23" s="25"/>
      <c r="AB23" s="58"/>
    </row>
    <row r="24" spans="1:28" ht="15.75" thickBot="1" x14ac:dyDescent="0.3">
      <c r="A24" s="6" t="s">
        <v>3</v>
      </c>
      <c r="B24" s="35">
        <f>E27*1000*C24</f>
        <v>27858.851999999999</v>
      </c>
      <c r="C24" s="6">
        <v>0.4</v>
      </c>
      <c r="K24">
        <v>3.5</v>
      </c>
      <c r="L24" s="22"/>
      <c r="M24" s="25"/>
      <c r="N24" s="22"/>
      <c r="O24" s="25"/>
      <c r="P24" s="22"/>
      <c r="Q24" s="25"/>
      <c r="R24" s="22"/>
      <c r="S24" s="25"/>
      <c r="T24" s="22"/>
      <c r="U24" s="25"/>
      <c r="V24" s="22"/>
      <c r="W24" s="25"/>
      <c r="X24" s="22"/>
      <c r="Y24" s="25"/>
      <c r="Z24" s="22"/>
      <c r="AA24" s="25"/>
      <c r="AB24" s="58"/>
    </row>
    <row r="25" spans="1:28" ht="15.75" thickBot="1" x14ac:dyDescent="0.3">
      <c r="A25" s="7" t="s">
        <v>4</v>
      </c>
      <c r="B25" s="35">
        <f>E27*1000*C25</f>
        <v>5571.7703999999994</v>
      </c>
      <c r="C25" s="7">
        <v>0.08</v>
      </c>
      <c r="D25" s="9" t="s">
        <v>70</v>
      </c>
      <c r="E25" s="11">
        <f>E21*E22*0.0929</f>
        <v>331.65299999999996</v>
      </c>
      <c r="K25">
        <v>3.5</v>
      </c>
      <c r="L25" s="22"/>
      <c r="M25" s="25"/>
      <c r="N25" s="22"/>
      <c r="O25" s="25"/>
      <c r="P25" s="22"/>
      <c r="Q25" s="25"/>
      <c r="R25" s="22"/>
      <c r="S25" s="25"/>
      <c r="T25" s="22"/>
      <c r="U25" s="25"/>
      <c r="V25" s="22"/>
      <c r="W25" s="25"/>
      <c r="X25" s="22"/>
      <c r="Y25" s="25"/>
      <c r="Z25" s="22"/>
      <c r="AA25" s="25"/>
      <c r="AB25" s="58"/>
    </row>
    <row r="26" spans="1:28" ht="15.75" thickBot="1" x14ac:dyDescent="0.3">
      <c r="A26" s="7" t="s">
        <v>65</v>
      </c>
      <c r="B26" s="35">
        <f>E27*1000*C26</f>
        <v>22287.081599999998</v>
      </c>
      <c r="C26" s="7">
        <v>0.32</v>
      </c>
      <c r="D26" s="9" t="s">
        <v>12</v>
      </c>
      <c r="E26" s="33">
        <v>0.21</v>
      </c>
      <c r="K26">
        <v>3.5</v>
      </c>
      <c r="L26" s="22"/>
      <c r="M26" s="25"/>
      <c r="N26" s="22"/>
      <c r="O26" s="25"/>
      <c r="P26" s="22"/>
      <c r="Q26" s="25"/>
      <c r="R26" s="22"/>
      <c r="S26" s="25"/>
      <c r="T26" s="22"/>
      <c r="U26" s="25"/>
      <c r="V26" s="22"/>
      <c r="W26" s="25"/>
      <c r="X26" s="22"/>
      <c r="Y26" s="25"/>
      <c r="Z26" s="22"/>
      <c r="AA26" s="25"/>
      <c r="AB26" s="58"/>
    </row>
    <row r="27" spans="1:28" ht="15.75" thickBot="1" x14ac:dyDescent="0.3">
      <c r="A27" s="7" t="s">
        <v>5</v>
      </c>
      <c r="B27" s="35">
        <f>E27*1000*C27</f>
        <v>26465.909399999997</v>
      </c>
      <c r="C27" s="7">
        <v>0.38</v>
      </c>
      <c r="D27" s="8" t="s">
        <v>13</v>
      </c>
      <c r="E27" s="34">
        <f>E25*E26</f>
        <v>69.64712999999999</v>
      </c>
      <c r="K27">
        <v>3.5</v>
      </c>
      <c r="L27" s="22"/>
      <c r="M27" s="25"/>
      <c r="N27" s="22"/>
      <c r="O27" s="25"/>
      <c r="P27" s="22"/>
      <c r="Q27" s="25"/>
      <c r="R27" s="22"/>
      <c r="S27" s="25"/>
      <c r="T27" s="22"/>
      <c r="U27" s="25"/>
      <c r="V27" s="22"/>
      <c r="W27" s="25"/>
      <c r="X27" s="22"/>
      <c r="Y27" s="25"/>
      <c r="Z27" s="22"/>
      <c r="AA27" s="25"/>
      <c r="AB27" s="58"/>
    </row>
    <row r="28" spans="1:28" x14ac:dyDescent="0.25">
      <c r="A28" s="7" t="s">
        <v>6</v>
      </c>
      <c r="B28" s="35">
        <f>E27*1000*C28</f>
        <v>22287.081599999998</v>
      </c>
      <c r="C28" s="7">
        <v>0.32</v>
      </c>
      <c r="K28">
        <v>3.5</v>
      </c>
      <c r="L28" s="22"/>
      <c r="M28" s="25"/>
      <c r="N28" s="22"/>
      <c r="O28" s="25"/>
      <c r="P28" s="22"/>
      <c r="Q28" s="25"/>
      <c r="R28" s="22"/>
      <c r="S28" s="25"/>
      <c r="T28" s="22"/>
      <c r="U28" s="25"/>
      <c r="V28" s="22"/>
      <c r="W28" s="25"/>
      <c r="X28" s="22"/>
      <c r="Y28" s="25"/>
      <c r="Z28" s="22"/>
      <c r="AA28" s="25"/>
      <c r="AB28" s="58"/>
    </row>
    <row r="29" spans="1:28" x14ac:dyDescent="0.25">
      <c r="A29" s="7" t="s">
        <v>7</v>
      </c>
      <c r="B29" s="35">
        <f>E27*1000*C29</f>
        <v>17411.782499999998</v>
      </c>
      <c r="C29" s="7">
        <v>0.25</v>
      </c>
      <c r="K29">
        <v>3.5</v>
      </c>
      <c r="L29" s="22"/>
      <c r="M29" s="25"/>
      <c r="N29" s="22"/>
      <c r="O29" s="25"/>
      <c r="P29" s="22"/>
      <c r="Q29" s="25"/>
      <c r="R29" s="22"/>
      <c r="S29" s="25"/>
      <c r="T29" s="22"/>
      <c r="U29" s="25"/>
      <c r="V29" s="22"/>
      <c r="W29" s="25"/>
      <c r="X29" s="22"/>
      <c r="Y29" s="25"/>
      <c r="Z29" s="22"/>
      <c r="AA29" s="25"/>
      <c r="AB29" s="58"/>
    </row>
    <row r="30" spans="1:28" x14ac:dyDescent="0.25">
      <c r="A30" s="7" t="s">
        <v>8</v>
      </c>
      <c r="B30" s="35">
        <f>E27*1000*C30</f>
        <v>4875.2991000000002</v>
      </c>
      <c r="C30" s="7">
        <v>7.0000000000000007E-2</v>
      </c>
      <c r="K30">
        <v>3.5</v>
      </c>
      <c r="L30" s="22"/>
      <c r="M30" s="25"/>
      <c r="N30" s="22"/>
      <c r="O30" s="25"/>
      <c r="P30" s="22"/>
      <c r="Q30" s="25"/>
      <c r="R30" s="22"/>
      <c r="S30" s="25"/>
      <c r="T30" s="22"/>
      <c r="U30" s="25"/>
      <c r="V30" s="22"/>
      <c r="W30" s="25"/>
      <c r="X30" s="22"/>
      <c r="Y30" s="25"/>
      <c r="Z30" s="22"/>
      <c r="AA30" s="25"/>
      <c r="AB30" s="58"/>
    </row>
    <row r="31" spans="1:28" x14ac:dyDescent="0.25">
      <c r="A31" s="7" t="s">
        <v>9</v>
      </c>
      <c r="B31" s="35">
        <f>E27*1000*C31</f>
        <v>1392.9425999999999</v>
      </c>
      <c r="C31" s="7">
        <v>0.02</v>
      </c>
      <c r="K31">
        <v>3.5</v>
      </c>
      <c r="L31" s="22"/>
      <c r="M31" s="25"/>
      <c r="N31" s="22"/>
      <c r="O31" s="25"/>
      <c r="P31" s="22"/>
      <c r="Q31" s="25"/>
      <c r="R31" s="22"/>
      <c r="S31" s="25"/>
      <c r="T31" s="22"/>
      <c r="U31" s="25"/>
      <c r="V31" s="22"/>
      <c r="W31" s="25"/>
      <c r="X31" s="22"/>
      <c r="Y31" s="25"/>
      <c r="Z31" s="22"/>
      <c r="AA31" s="25"/>
      <c r="AB31" s="58"/>
    </row>
    <row r="32" spans="1:28" x14ac:dyDescent="0.25">
      <c r="A32" s="7" t="s">
        <v>10</v>
      </c>
      <c r="B32" s="35">
        <f>E27*1000*C32</f>
        <v>4875.2991000000002</v>
      </c>
      <c r="C32" s="7">
        <v>7.0000000000000007E-2</v>
      </c>
      <c r="K32">
        <v>3.5</v>
      </c>
      <c r="L32" s="22"/>
      <c r="M32" s="25"/>
      <c r="N32" s="22"/>
      <c r="O32" s="25"/>
      <c r="P32" s="22"/>
      <c r="Q32" s="25"/>
      <c r="R32" s="22"/>
      <c r="S32" s="25"/>
      <c r="T32" s="22"/>
      <c r="U32" s="25"/>
      <c r="V32" s="22"/>
      <c r="W32" s="25"/>
      <c r="X32" s="22"/>
      <c r="Y32" s="25"/>
      <c r="Z32" s="22"/>
      <c r="AA32" s="25"/>
      <c r="AB32" s="58"/>
    </row>
    <row r="33" spans="1:28" x14ac:dyDescent="0.25">
      <c r="A33" s="7" t="s">
        <v>11</v>
      </c>
      <c r="B33" s="35">
        <f>E27*1000*C33</f>
        <v>15322.368599999998</v>
      </c>
      <c r="C33" s="7">
        <v>0.22</v>
      </c>
      <c r="K33">
        <v>3.5</v>
      </c>
      <c r="L33" s="22"/>
      <c r="M33" s="25"/>
      <c r="N33" s="22"/>
      <c r="O33" s="25"/>
      <c r="P33" s="22"/>
      <c r="Q33" s="25"/>
      <c r="R33" s="22"/>
      <c r="S33" s="25"/>
      <c r="T33" s="22"/>
      <c r="U33" s="25"/>
      <c r="V33" s="22"/>
      <c r="W33" s="25"/>
      <c r="X33" s="22"/>
      <c r="Y33" s="25"/>
      <c r="Z33" s="22"/>
      <c r="AA33" s="25"/>
      <c r="AB33" s="58"/>
    </row>
    <row r="34" spans="1:28" ht="15.75" thickBot="1" x14ac:dyDescent="0.3">
      <c r="A34" s="7"/>
      <c r="B34" s="35"/>
      <c r="C34" s="8"/>
      <c r="K34">
        <v>3.5</v>
      </c>
      <c r="L34" s="22"/>
      <c r="M34" s="25"/>
      <c r="N34" s="22"/>
      <c r="O34" s="25"/>
      <c r="P34" s="22"/>
      <c r="Q34" s="25"/>
      <c r="R34" s="22"/>
      <c r="S34" s="25"/>
      <c r="T34" s="22"/>
      <c r="U34" s="25"/>
      <c r="V34" s="22"/>
      <c r="W34" s="25"/>
      <c r="X34" s="22"/>
      <c r="Y34" s="25"/>
      <c r="Z34" s="22"/>
      <c r="AA34" s="25"/>
      <c r="AB34" s="58"/>
    </row>
    <row r="35" spans="1:28" ht="15.75" thickBot="1" x14ac:dyDescent="0.3">
      <c r="A35" s="12" t="s">
        <v>32</v>
      </c>
      <c r="B35" s="43">
        <f>SUM(B24:B33)</f>
        <v>148348.38689999998</v>
      </c>
      <c r="C35" s="8"/>
      <c r="K35">
        <v>3.5</v>
      </c>
      <c r="L35" s="22"/>
      <c r="M35" s="25"/>
      <c r="N35" s="22"/>
      <c r="O35" s="25"/>
      <c r="P35" s="22"/>
      <c r="Q35" s="25"/>
      <c r="R35" s="22"/>
      <c r="S35" s="25"/>
      <c r="T35" s="22"/>
      <c r="U35" s="25"/>
      <c r="V35" s="22"/>
      <c r="W35" s="25"/>
      <c r="X35" s="22"/>
      <c r="Y35" s="25"/>
      <c r="Z35" s="22"/>
      <c r="AA35" s="25"/>
      <c r="AB35" s="58"/>
    </row>
    <row r="36" spans="1:28" x14ac:dyDescent="0.25">
      <c r="K36">
        <v>3.5</v>
      </c>
      <c r="L36" s="22"/>
      <c r="M36" s="25"/>
      <c r="N36" s="22"/>
      <c r="O36" s="25"/>
      <c r="P36" s="22"/>
      <c r="Q36" s="25"/>
      <c r="R36" s="22"/>
      <c r="S36" s="25"/>
      <c r="T36" s="22"/>
      <c r="U36" s="25"/>
      <c r="V36" s="22"/>
      <c r="W36" s="25"/>
      <c r="X36" s="22"/>
      <c r="Y36" s="25"/>
      <c r="Z36" s="22"/>
      <c r="AA36" s="25"/>
      <c r="AB36" s="58"/>
    </row>
    <row r="37" spans="1:28" x14ac:dyDescent="0.25">
      <c r="K37">
        <v>3.5</v>
      </c>
      <c r="L37" s="22"/>
      <c r="M37" s="25"/>
      <c r="N37" s="22"/>
      <c r="O37" s="25"/>
      <c r="P37" s="22"/>
      <c r="Q37" s="25"/>
      <c r="R37" s="22"/>
      <c r="S37" s="25"/>
      <c r="T37" s="22"/>
      <c r="U37" s="25"/>
      <c r="V37" s="22"/>
      <c r="W37" s="25"/>
      <c r="X37" s="22"/>
      <c r="Y37" s="25"/>
      <c r="Z37" s="22"/>
      <c r="AA37" s="25"/>
      <c r="AB37" s="58"/>
    </row>
    <row r="38" spans="1:28" x14ac:dyDescent="0.25">
      <c r="D38" t="s">
        <v>75</v>
      </c>
      <c r="E38">
        <f>1945.65*15</f>
        <v>29184.75</v>
      </c>
      <c r="F38">
        <v>1</v>
      </c>
      <c r="G38">
        <v>1</v>
      </c>
      <c r="H38">
        <v>1</v>
      </c>
      <c r="I38">
        <f>$H$64</f>
        <v>10024.459816080442</v>
      </c>
      <c r="J38">
        <f>I38*G38</f>
        <v>10024.459816080442</v>
      </c>
      <c r="K38">
        <v>3.5</v>
      </c>
      <c r="L38" s="22"/>
      <c r="M38" s="25"/>
      <c r="N38" s="22"/>
      <c r="O38" s="25"/>
      <c r="P38" s="22"/>
      <c r="Q38" s="25"/>
      <c r="R38" s="22"/>
      <c r="S38" s="25"/>
      <c r="T38" s="22"/>
      <c r="U38" s="25"/>
      <c r="V38" s="22"/>
      <c r="W38" s="25"/>
      <c r="X38" s="22"/>
      <c r="Y38" s="25"/>
      <c r="Z38" s="22"/>
      <c r="AA38" s="25"/>
      <c r="AB38" s="58"/>
    </row>
    <row r="39" spans="1:28" x14ac:dyDescent="0.25">
      <c r="D39" t="s">
        <v>76</v>
      </c>
      <c r="E39">
        <v>148348.39000000001</v>
      </c>
      <c r="F39">
        <v>2</v>
      </c>
      <c r="G39">
        <f>1/(1+$E$41)^(F39-1)</f>
        <v>0.95238095238095233</v>
      </c>
      <c r="H39">
        <v>1</v>
      </c>
      <c r="I39">
        <f t="shared" ref="I39:I63" si="14">$H$64</f>
        <v>10024.459816080442</v>
      </c>
      <c r="J39">
        <f t="shared" ref="J39:J62" si="15">I39*G39</f>
        <v>9547.1045867432767</v>
      </c>
      <c r="K39">
        <v>3.5</v>
      </c>
      <c r="L39" s="22"/>
      <c r="M39" s="25"/>
      <c r="N39" s="22"/>
      <c r="O39" s="25"/>
      <c r="P39" s="22"/>
      <c r="Q39" s="25"/>
      <c r="R39" s="22"/>
      <c r="S39" s="25"/>
      <c r="T39" s="22"/>
      <c r="U39" s="25"/>
      <c r="V39" s="22"/>
      <c r="W39" s="25"/>
      <c r="X39" s="22"/>
      <c r="Y39" s="25"/>
      <c r="Z39" s="22"/>
      <c r="AA39" s="25"/>
      <c r="AB39" s="58"/>
    </row>
    <row r="40" spans="1:28" x14ac:dyDescent="0.25">
      <c r="D40" t="s">
        <v>77</v>
      </c>
      <c r="E40">
        <v>25</v>
      </c>
      <c r="F40">
        <v>3</v>
      </c>
      <c r="G40">
        <f t="shared" ref="G40:G62" si="16">1/(1+$E$41)^(F40-1)</f>
        <v>0.90702947845804982</v>
      </c>
      <c r="H40">
        <v>1</v>
      </c>
      <c r="I40">
        <f t="shared" si="14"/>
        <v>10024.459816080442</v>
      </c>
      <c r="J40">
        <f t="shared" si="15"/>
        <v>9092.4805588031213</v>
      </c>
      <c r="K40">
        <v>3.5</v>
      </c>
      <c r="L40" s="22"/>
      <c r="M40" s="25"/>
      <c r="N40" s="22"/>
      <c r="O40" s="25"/>
      <c r="P40" s="22"/>
      <c r="Q40" s="25"/>
      <c r="R40" s="22"/>
      <c r="S40" s="25"/>
      <c r="T40" s="22"/>
      <c r="U40" s="25"/>
      <c r="V40" s="22"/>
      <c r="W40" s="25"/>
      <c r="X40" s="22"/>
      <c r="Y40" s="25"/>
      <c r="Z40" s="22"/>
      <c r="AA40" s="25"/>
      <c r="AB40" s="58"/>
    </row>
    <row r="41" spans="1:28" x14ac:dyDescent="0.25">
      <c r="D41" t="s">
        <v>78</v>
      </c>
      <c r="E41">
        <v>0.05</v>
      </c>
      <c r="F41">
        <v>4</v>
      </c>
      <c r="G41">
        <f t="shared" si="16"/>
        <v>0.86383759853147601</v>
      </c>
      <c r="H41">
        <v>1</v>
      </c>
      <c r="I41">
        <f t="shared" si="14"/>
        <v>10024.459816080442</v>
      </c>
      <c r="J41">
        <f t="shared" si="15"/>
        <v>8659.5052940982096</v>
      </c>
      <c r="K41">
        <v>3.5</v>
      </c>
      <c r="L41" s="22"/>
      <c r="M41" s="25"/>
      <c r="N41" s="22"/>
      <c r="O41" s="25"/>
      <c r="P41" s="22"/>
      <c r="Q41" s="25"/>
      <c r="R41" s="22"/>
      <c r="S41" s="25"/>
      <c r="T41" s="22"/>
      <c r="U41" s="25"/>
      <c r="V41" s="22"/>
      <c r="W41" s="25"/>
      <c r="X41" s="22"/>
      <c r="Y41" s="25"/>
      <c r="Z41" s="22"/>
      <c r="AA41" s="25"/>
      <c r="AB41" s="58"/>
    </row>
    <row r="42" spans="1:28" x14ac:dyDescent="0.25">
      <c r="D42" t="s">
        <v>79</v>
      </c>
      <c r="E42">
        <v>10024.45982</v>
      </c>
      <c r="F42">
        <v>5</v>
      </c>
      <c r="G42">
        <f t="shared" si="16"/>
        <v>0.82270247479188197</v>
      </c>
      <c r="H42">
        <v>1</v>
      </c>
      <c r="I42">
        <f t="shared" si="14"/>
        <v>10024.459816080442</v>
      </c>
      <c r="J42">
        <f t="shared" si="15"/>
        <v>8247.1478991411532</v>
      </c>
      <c r="K42">
        <v>3.5</v>
      </c>
      <c r="L42" s="22"/>
      <c r="M42" s="25"/>
      <c r="N42" s="22"/>
      <c r="O42" s="25"/>
      <c r="P42" s="22"/>
      <c r="Q42" s="25"/>
      <c r="R42" s="22"/>
      <c r="S42" s="25"/>
      <c r="T42" s="22"/>
      <c r="U42" s="25"/>
      <c r="V42" s="22"/>
      <c r="W42" s="25"/>
      <c r="X42" s="22"/>
      <c r="Y42" s="25"/>
      <c r="Z42" s="22"/>
      <c r="AA42" s="25"/>
      <c r="AB42" s="58"/>
    </row>
    <row r="43" spans="1:28" x14ac:dyDescent="0.25">
      <c r="F43">
        <v>6</v>
      </c>
      <c r="G43">
        <f t="shared" si="16"/>
        <v>0.78352616646845896</v>
      </c>
      <c r="H43">
        <v>1</v>
      </c>
      <c r="I43">
        <f t="shared" si="14"/>
        <v>10024.459816080442</v>
      </c>
      <c r="J43">
        <f t="shared" si="15"/>
        <v>7854.4265706106216</v>
      </c>
      <c r="K43">
        <v>3.5</v>
      </c>
      <c r="L43" s="22"/>
      <c r="M43" s="25"/>
      <c r="N43" s="22"/>
      <c r="O43" s="25"/>
      <c r="P43" s="22"/>
      <c r="Q43" s="25"/>
      <c r="R43" s="22"/>
      <c r="S43" s="25"/>
      <c r="T43" s="22"/>
      <c r="U43" s="25"/>
      <c r="V43" s="22"/>
      <c r="W43" s="25"/>
      <c r="X43" s="22"/>
      <c r="Y43" s="25"/>
      <c r="Z43" s="22"/>
      <c r="AA43" s="25"/>
      <c r="AB43" s="58"/>
    </row>
    <row r="44" spans="1:28" x14ac:dyDescent="0.25">
      <c r="D44" t="s">
        <v>80</v>
      </c>
      <c r="E44" s="61">
        <f>E38+E42</f>
        <v>39209.209820000004</v>
      </c>
      <c r="F44">
        <v>7</v>
      </c>
      <c r="G44">
        <f t="shared" si="16"/>
        <v>0.74621539663662761</v>
      </c>
      <c r="H44">
        <v>1</v>
      </c>
      <c r="I44">
        <f t="shared" si="14"/>
        <v>10024.459816080442</v>
      </c>
      <c r="J44">
        <f t="shared" si="15"/>
        <v>7480.4062577244022</v>
      </c>
      <c r="K44">
        <v>3.5</v>
      </c>
      <c r="L44" s="22"/>
      <c r="M44" s="25"/>
      <c r="N44" s="22"/>
      <c r="O44" s="25"/>
      <c r="P44" s="22"/>
      <c r="Q44" s="25"/>
      <c r="R44" s="22"/>
      <c r="S44" s="25"/>
      <c r="T44" s="22"/>
      <c r="U44" s="25"/>
      <c r="V44" s="22"/>
      <c r="W44" s="25"/>
      <c r="X44" s="22"/>
      <c r="Y44" s="25"/>
      <c r="Z44" s="22"/>
      <c r="AA44" s="25"/>
      <c r="AB44" s="58"/>
    </row>
    <row r="45" spans="1:28" x14ac:dyDescent="0.25">
      <c r="D45" s="63" t="s">
        <v>81</v>
      </c>
      <c r="E45" s="64">
        <f>397838.73-E44</f>
        <v>358629.52017999999</v>
      </c>
      <c r="F45">
        <v>8</v>
      </c>
      <c r="G45">
        <f t="shared" si="16"/>
        <v>0.71068133013012147</v>
      </c>
      <c r="H45">
        <v>1</v>
      </c>
      <c r="I45">
        <f t="shared" si="14"/>
        <v>10024.459816080442</v>
      </c>
      <c r="J45">
        <f t="shared" si="15"/>
        <v>7124.1964359280009</v>
      </c>
      <c r="K45">
        <v>3.5</v>
      </c>
      <c r="L45" s="22"/>
      <c r="M45" s="25"/>
      <c r="N45" s="22"/>
      <c r="O45" s="25"/>
      <c r="P45" s="22"/>
      <c r="Q45" s="25"/>
      <c r="R45" s="22"/>
      <c r="S45" s="25"/>
      <c r="T45" s="22"/>
      <c r="U45" s="25"/>
      <c r="V45" s="22"/>
      <c r="W45" s="25"/>
      <c r="X45" s="22"/>
      <c r="Y45" s="25"/>
      <c r="Z45" s="22"/>
      <c r="AA45" s="25"/>
      <c r="AB45" s="58"/>
    </row>
    <row r="46" spans="1:28" ht="15.75" thickBot="1" x14ac:dyDescent="0.3">
      <c r="C46" t="s">
        <v>82</v>
      </c>
      <c r="D46" s="63">
        <v>0.9</v>
      </c>
      <c r="E46" s="63">
        <f t="shared" ref="E46:E54" si="17">D46*E45</f>
        <v>322766.56816199998</v>
      </c>
      <c r="F46">
        <v>9</v>
      </c>
      <c r="G46">
        <f t="shared" si="16"/>
        <v>0.67683936202868722</v>
      </c>
      <c r="H46">
        <v>1</v>
      </c>
      <c r="I46">
        <f t="shared" si="14"/>
        <v>10024.459816080442</v>
      </c>
      <c r="J46">
        <f t="shared" si="15"/>
        <v>6784.9489865980977</v>
      </c>
      <c r="K46">
        <v>3.5</v>
      </c>
      <c r="L46" s="23"/>
      <c r="M46" s="26"/>
      <c r="N46" s="23"/>
      <c r="O46" s="26"/>
      <c r="P46" s="23"/>
      <c r="Q46" s="26"/>
      <c r="R46" s="23"/>
      <c r="S46" s="26"/>
      <c r="T46" s="23"/>
      <c r="U46" s="26"/>
      <c r="V46" s="23"/>
      <c r="W46" s="26"/>
      <c r="X46" s="23"/>
      <c r="Y46" s="26"/>
      <c r="Z46" s="23"/>
      <c r="AA46" s="26"/>
      <c r="AB46" s="59"/>
    </row>
    <row r="47" spans="1:28" x14ac:dyDescent="0.25">
      <c r="C47" t="s">
        <v>83</v>
      </c>
      <c r="D47" s="63">
        <v>0.8</v>
      </c>
      <c r="E47" s="63">
        <f t="shared" si="17"/>
        <v>258213.2545296</v>
      </c>
      <c r="F47">
        <v>10</v>
      </c>
      <c r="G47">
        <f t="shared" si="16"/>
        <v>0.64460891621779726</v>
      </c>
      <c r="H47">
        <v>1</v>
      </c>
      <c r="I47">
        <f t="shared" si="14"/>
        <v>10024.459816080442</v>
      </c>
      <c r="J47">
        <f t="shared" si="15"/>
        <v>6461.8561777124723</v>
      </c>
      <c r="L47">
        <v>7.75</v>
      </c>
      <c r="M47">
        <v>6</v>
      </c>
      <c r="N47">
        <v>7.75</v>
      </c>
      <c r="O47">
        <v>6</v>
      </c>
      <c r="P47">
        <v>7.75</v>
      </c>
      <c r="Q47">
        <v>6</v>
      </c>
      <c r="R47">
        <v>7.75</v>
      </c>
      <c r="S47">
        <v>6</v>
      </c>
      <c r="T47">
        <v>7.75</v>
      </c>
      <c r="U47">
        <v>6</v>
      </c>
      <c r="V47">
        <v>7.75</v>
      </c>
      <c r="W47">
        <v>6</v>
      </c>
      <c r="X47">
        <v>7.75</v>
      </c>
      <c r="Y47">
        <v>6</v>
      </c>
      <c r="Z47">
        <v>7.75</v>
      </c>
      <c r="AA47">
        <v>6</v>
      </c>
    </row>
    <row r="48" spans="1:28" x14ac:dyDescent="0.25">
      <c r="C48" t="s">
        <v>84</v>
      </c>
      <c r="D48" s="63">
        <v>0.7</v>
      </c>
      <c r="E48" s="63">
        <f t="shared" si="17"/>
        <v>180749.27817072</v>
      </c>
      <c r="F48">
        <v>11</v>
      </c>
      <c r="G48">
        <f t="shared" si="16"/>
        <v>0.61391325354075932</v>
      </c>
      <c r="H48">
        <v>1</v>
      </c>
      <c r="I48">
        <f t="shared" si="14"/>
        <v>10024.459816080442</v>
      </c>
      <c r="J48">
        <f t="shared" si="15"/>
        <v>6154.1487406785454</v>
      </c>
      <c r="L48" s="75">
        <f>L47+M47</f>
        <v>13.75</v>
      </c>
      <c r="M48" s="75"/>
      <c r="N48" s="75">
        <f>N47+O47</f>
        <v>13.75</v>
      </c>
      <c r="O48" s="75"/>
      <c r="P48" s="75">
        <f>P47+Q47</f>
        <v>13.75</v>
      </c>
      <c r="Q48" s="75"/>
      <c r="R48" s="75">
        <f>R47+S47</f>
        <v>13.75</v>
      </c>
      <c r="S48" s="75"/>
      <c r="T48" s="75">
        <f>T47+U47</f>
        <v>13.75</v>
      </c>
      <c r="U48" s="75"/>
      <c r="V48" s="75">
        <f>V47+W47</f>
        <v>13.75</v>
      </c>
      <c r="W48" s="75"/>
      <c r="X48" s="75">
        <f>X47+Y47</f>
        <v>13.75</v>
      </c>
      <c r="Y48" s="75"/>
      <c r="Z48" s="75">
        <f>Z47+AA47</f>
        <v>13.75</v>
      </c>
      <c r="AA48" s="75"/>
      <c r="AB48" s="56"/>
    </row>
    <row r="49" spans="3:10" x14ac:dyDescent="0.25">
      <c r="C49" s="62" t="s">
        <v>85</v>
      </c>
      <c r="D49" s="63">
        <v>0.6</v>
      </c>
      <c r="E49" s="63">
        <f t="shared" si="17"/>
        <v>108449.56690243199</v>
      </c>
      <c r="F49">
        <v>12</v>
      </c>
      <c r="G49">
        <f t="shared" si="16"/>
        <v>0.5846792890864374</v>
      </c>
      <c r="H49">
        <v>1</v>
      </c>
      <c r="I49">
        <f t="shared" si="14"/>
        <v>10024.459816080442</v>
      </c>
      <c r="J49">
        <f t="shared" si="15"/>
        <v>5861.0940387414721</v>
      </c>
    </row>
    <row r="50" spans="3:10" x14ac:dyDescent="0.25">
      <c r="C50" t="s">
        <v>86</v>
      </c>
      <c r="D50" s="63">
        <v>0.5</v>
      </c>
      <c r="E50" s="63">
        <f t="shared" si="17"/>
        <v>54224.783451215997</v>
      </c>
      <c r="F50">
        <v>13</v>
      </c>
      <c r="G50">
        <f t="shared" si="16"/>
        <v>0.5568374181775595</v>
      </c>
      <c r="H50">
        <v>1</v>
      </c>
      <c r="I50">
        <f t="shared" si="14"/>
        <v>10024.459816080442</v>
      </c>
      <c r="J50">
        <f t="shared" si="15"/>
        <v>5581.9943226109262</v>
      </c>
    </row>
    <row r="51" spans="3:10" x14ac:dyDescent="0.25">
      <c r="C51" t="s">
        <v>87</v>
      </c>
      <c r="D51" s="63">
        <v>0.4</v>
      </c>
      <c r="E51" s="63">
        <f t="shared" si="17"/>
        <v>21689.9133804864</v>
      </c>
      <c r="F51">
        <v>14</v>
      </c>
      <c r="G51">
        <f t="shared" si="16"/>
        <v>0.53032135064529462</v>
      </c>
      <c r="H51">
        <v>1</v>
      </c>
      <c r="I51">
        <f t="shared" si="14"/>
        <v>10024.459816080442</v>
      </c>
      <c r="J51">
        <f t="shared" si="15"/>
        <v>5316.1850691532618</v>
      </c>
    </row>
    <row r="52" spans="3:10" x14ac:dyDescent="0.25">
      <c r="C52" t="s">
        <v>88</v>
      </c>
      <c r="D52" s="63">
        <v>0.3</v>
      </c>
      <c r="E52" s="63">
        <f t="shared" si="17"/>
        <v>6506.9740141459197</v>
      </c>
      <c r="F52">
        <v>15</v>
      </c>
      <c r="G52">
        <f t="shared" si="16"/>
        <v>0.50506795299551888</v>
      </c>
      <c r="H52">
        <v>1</v>
      </c>
      <c r="I52">
        <f t="shared" si="14"/>
        <v>10024.459816080442</v>
      </c>
      <c r="J52">
        <f t="shared" si="15"/>
        <v>5063.033399193584</v>
      </c>
    </row>
    <row r="53" spans="3:10" x14ac:dyDescent="0.25">
      <c r="C53" t="s">
        <v>89</v>
      </c>
      <c r="D53" s="63">
        <v>0.2</v>
      </c>
      <c r="E53" s="63">
        <f t="shared" si="17"/>
        <v>1301.3948028291841</v>
      </c>
      <c r="F53">
        <v>16</v>
      </c>
      <c r="G53">
        <f t="shared" si="16"/>
        <v>0.48101709809097021</v>
      </c>
      <c r="H53">
        <v>1</v>
      </c>
      <c r="I53">
        <f t="shared" si="14"/>
        <v>10024.459816080442</v>
      </c>
      <c r="J53">
        <f t="shared" si="15"/>
        <v>4821.9365706605549</v>
      </c>
    </row>
    <row r="54" spans="3:10" x14ac:dyDescent="0.25">
      <c r="C54" t="s">
        <v>90</v>
      </c>
      <c r="D54" s="63">
        <v>0.1</v>
      </c>
      <c r="E54" s="63">
        <f t="shared" si="17"/>
        <v>130.13948028291841</v>
      </c>
      <c r="F54">
        <v>17</v>
      </c>
      <c r="G54">
        <f t="shared" si="16"/>
        <v>0.45811152199140021</v>
      </c>
      <c r="H54">
        <v>1</v>
      </c>
      <c r="I54">
        <f t="shared" si="14"/>
        <v>10024.459816080442</v>
      </c>
      <c r="J54">
        <f t="shared" si="15"/>
        <v>4592.320543486243</v>
      </c>
    </row>
    <row r="55" spans="3:10" x14ac:dyDescent="0.25">
      <c r="F55">
        <v>18</v>
      </c>
      <c r="G55">
        <f t="shared" si="16"/>
        <v>0.43629668761085727</v>
      </c>
      <c r="H55">
        <v>1</v>
      </c>
      <c r="I55">
        <f t="shared" si="14"/>
        <v>10024.459816080442</v>
      </c>
      <c r="J55">
        <f t="shared" si="15"/>
        <v>4373.6386128440399</v>
      </c>
    </row>
    <row r="56" spans="3:10" x14ac:dyDescent="0.25">
      <c r="F56">
        <v>19</v>
      </c>
      <c r="G56">
        <f t="shared" si="16"/>
        <v>0.41552065486748313</v>
      </c>
      <c r="H56">
        <v>1</v>
      </c>
      <c r="I56">
        <f t="shared" si="14"/>
        <v>10024.459816080442</v>
      </c>
      <c r="J56">
        <f t="shared" si="15"/>
        <v>4165.370107470515</v>
      </c>
    </row>
    <row r="57" spans="3:10" x14ac:dyDescent="0.25">
      <c r="F57">
        <v>20</v>
      </c>
      <c r="G57">
        <f t="shared" si="16"/>
        <v>0.39573395701665059</v>
      </c>
      <c r="H57">
        <v>1</v>
      </c>
      <c r="I57">
        <f t="shared" si="14"/>
        <v>10024.459816080442</v>
      </c>
      <c r="J57">
        <f t="shared" si="15"/>
        <v>3967.0191499719185</v>
      </c>
    </row>
    <row r="58" spans="3:10" x14ac:dyDescent="0.25">
      <c r="F58">
        <v>21</v>
      </c>
      <c r="G58">
        <f t="shared" si="16"/>
        <v>0.37688948287300061</v>
      </c>
      <c r="H58">
        <v>1</v>
      </c>
      <c r="I58">
        <f t="shared" si="14"/>
        <v>10024.459816080442</v>
      </c>
      <c r="J58">
        <f t="shared" si="15"/>
        <v>3778.1134761637327</v>
      </c>
    </row>
    <row r="59" spans="3:10" x14ac:dyDescent="0.25">
      <c r="F59">
        <v>22</v>
      </c>
      <c r="G59">
        <f t="shared" si="16"/>
        <v>0.35894236464095297</v>
      </c>
      <c r="H59">
        <v>1</v>
      </c>
      <c r="I59">
        <f t="shared" si="14"/>
        <v>10024.459816080442</v>
      </c>
      <c r="J59">
        <f t="shared" si="15"/>
        <v>3598.2033106321264</v>
      </c>
    </row>
    <row r="60" spans="3:10" x14ac:dyDescent="0.25">
      <c r="F60">
        <v>23</v>
      </c>
      <c r="G60">
        <f t="shared" si="16"/>
        <v>0.3418498710866219</v>
      </c>
      <c r="H60">
        <v>1</v>
      </c>
      <c r="I60">
        <f t="shared" si="14"/>
        <v>10024.459816080442</v>
      </c>
      <c r="J60">
        <f t="shared" si="15"/>
        <v>3426.8602958401207</v>
      </c>
    </row>
    <row r="61" spans="3:10" x14ac:dyDescent="0.25">
      <c r="F61">
        <v>24</v>
      </c>
      <c r="G61">
        <f t="shared" si="16"/>
        <v>0.32557130579678267</v>
      </c>
      <c r="H61">
        <v>1</v>
      </c>
      <c r="I61">
        <f t="shared" si="14"/>
        <v>10024.459816080442</v>
      </c>
      <c r="J61">
        <f t="shared" si="15"/>
        <v>3263.6764722286853</v>
      </c>
    </row>
    <row r="62" spans="3:10" x14ac:dyDescent="0.25">
      <c r="F62">
        <v>25</v>
      </c>
      <c r="G62">
        <f t="shared" si="16"/>
        <v>0.31006791028265024</v>
      </c>
      <c r="H62">
        <v>1</v>
      </c>
      <c r="I62">
        <f t="shared" si="14"/>
        <v>10024.459816080442</v>
      </c>
      <c r="J62">
        <f t="shared" si="15"/>
        <v>3108.263306884463</v>
      </c>
    </row>
    <row r="63" spans="3:10" x14ac:dyDescent="0.25">
      <c r="G63">
        <f>SUM(G38:G62)</f>
        <v>14.798641794346995</v>
      </c>
      <c r="H63">
        <v>1</v>
      </c>
      <c r="I63">
        <f t="shared" si="14"/>
        <v>10024.459816080442</v>
      </c>
      <c r="J63">
        <f>SUM(J38:J62)</f>
        <v>148348.39000000001</v>
      </c>
    </row>
    <row r="64" spans="3:10" x14ac:dyDescent="0.25">
      <c r="H64">
        <f>E39/G63</f>
        <v>10024.459816080442</v>
      </c>
    </row>
  </sheetData>
  <mergeCells count="9">
    <mergeCell ref="X48:Y48"/>
    <mergeCell ref="Z48:AA48"/>
    <mergeCell ref="A23:C23"/>
    <mergeCell ref="L48:M48"/>
    <mergeCell ref="N48:O48"/>
    <mergeCell ref="P48:Q48"/>
    <mergeCell ref="R48:S48"/>
    <mergeCell ref="T48:U48"/>
    <mergeCell ref="V48:W4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5B7A0-0332-A746-8F63-9FF2761D4719}">
  <dimension ref="A1:AB64"/>
  <sheetViews>
    <sheetView topLeftCell="C1" zoomScale="82" zoomScaleNormal="82" workbookViewId="0">
      <selection activeCell="C2" sqref="C2"/>
    </sheetView>
  </sheetViews>
  <sheetFormatPr defaultColWidth="8.85546875" defaultRowHeight="15" x14ac:dyDescent="0.25"/>
  <cols>
    <col min="1" max="1" width="26.42578125" bestFit="1" customWidth="1"/>
    <col min="2" max="2" width="19.140625" bestFit="1" customWidth="1"/>
    <col min="3" max="3" width="19.140625" customWidth="1"/>
    <col min="4" max="4" width="31.85546875" customWidth="1"/>
    <col min="5" max="6" width="19.140625" customWidth="1"/>
    <col min="7" max="7" width="21.42578125" bestFit="1" customWidth="1"/>
    <col min="8" max="8" width="18.28515625" bestFit="1" customWidth="1"/>
    <col min="9" max="10" width="18.28515625" customWidth="1"/>
    <col min="11" max="11" width="16.7109375" bestFit="1" customWidth="1"/>
    <col min="12" max="12" width="14.85546875" bestFit="1" customWidth="1"/>
    <col min="13" max="13" width="20.140625" bestFit="1" customWidth="1"/>
    <col min="14" max="14" width="17.28515625" bestFit="1" customWidth="1"/>
    <col min="15" max="15" width="20.42578125" bestFit="1" customWidth="1"/>
    <col min="16" max="16" width="16" bestFit="1" customWidth="1"/>
    <col min="17" max="17" width="18.7109375" bestFit="1" customWidth="1"/>
    <col min="18" max="18" width="11.42578125" bestFit="1" customWidth="1"/>
    <col min="19" max="19" width="16" bestFit="1" customWidth="1"/>
    <col min="20" max="20" width="16.7109375" bestFit="1" customWidth="1"/>
    <col min="21" max="21" width="29.42578125" bestFit="1" customWidth="1"/>
    <col min="22" max="22" width="17.85546875" bestFit="1" customWidth="1"/>
    <col min="23" max="25" width="12.42578125" bestFit="1" customWidth="1"/>
    <col min="26" max="26" width="21.85546875" bestFit="1" customWidth="1"/>
    <col min="27" max="27" width="24.42578125" bestFit="1" customWidth="1"/>
    <col min="28" max="28" width="24.42578125" customWidth="1"/>
  </cols>
  <sheetData>
    <row r="1" spans="1:27" x14ac:dyDescent="0.25">
      <c r="A1" t="s">
        <v>38</v>
      </c>
      <c r="B1" t="s">
        <v>41</v>
      </c>
      <c r="C1" t="s">
        <v>51</v>
      </c>
      <c r="D1" t="s">
        <v>18</v>
      </c>
      <c r="E1" t="s">
        <v>0</v>
      </c>
      <c r="F1" t="s">
        <v>66</v>
      </c>
      <c r="G1" t="s">
        <v>43</v>
      </c>
      <c r="H1" t="s">
        <v>42</v>
      </c>
      <c r="K1" t="s">
        <v>40</v>
      </c>
      <c r="L1" t="s">
        <v>39</v>
      </c>
      <c r="M1" t="s">
        <v>56</v>
      </c>
      <c r="N1" t="s">
        <v>63</v>
      </c>
      <c r="O1" t="s">
        <v>50</v>
      </c>
      <c r="P1" t="s">
        <v>54</v>
      </c>
      <c r="Q1" t="s">
        <v>52</v>
      </c>
      <c r="R1" t="s">
        <v>53</v>
      </c>
      <c r="S1" t="s">
        <v>72</v>
      </c>
      <c r="T1" t="s">
        <v>68</v>
      </c>
      <c r="U1" t="s">
        <v>69</v>
      </c>
      <c r="V1" t="s">
        <v>71</v>
      </c>
      <c r="W1" t="s">
        <v>55</v>
      </c>
      <c r="X1" t="s">
        <v>2</v>
      </c>
      <c r="Y1" t="s">
        <v>57</v>
      </c>
      <c r="Z1" t="s">
        <v>73</v>
      </c>
      <c r="AA1" t="s">
        <v>74</v>
      </c>
    </row>
    <row r="2" spans="1:27" x14ac:dyDescent="0.25">
      <c r="A2">
        <v>174240</v>
      </c>
      <c r="B2">
        <v>1</v>
      </c>
      <c r="C2">
        <f>A2*B2</f>
        <v>174240</v>
      </c>
      <c r="D2" s="27">
        <f>SQRT(A2)</f>
        <v>417.42065114222606</v>
      </c>
      <c r="E2" s="27">
        <v>7.75</v>
      </c>
      <c r="F2" s="27">
        <v>6</v>
      </c>
      <c r="G2" s="28">
        <v>3.5</v>
      </c>
      <c r="H2" s="27">
        <f>E2*G2</f>
        <v>27.125</v>
      </c>
      <c r="I2" s="27"/>
      <c r="J2" s="27"/>
      <c r="K2" s="27">
        <f>D2</f>
        <v>417.42065114222606</v>
      </c>
      <c r="L2" s="51">
        <f>C2/D2</f>
        <v>417.42065114222606</v>
      </c>
      <c r="M2" s="1">
        <f>ROUNDDOWN(D2/G2,0)</f>
        <v>119</v>
      </c>
      <c r="N2" s="28">
        <f>ROUNDDOWN(L2/(E2+F2),0)</f>
        <v>30</v>
      </c>
      <c r="O2" s="1">
        <f>M2*N2</f>
        <v>3570</v>
      </c>
      <c r="P2" s="28">
        <f>N2</f>
        <v>30</v>
      </c>
      <c r="Q2" s="27">
        <f>L2</f>
        <v>417.42065114222606</v>
      </c>
      <c r="R2" s="28">
        <f>K2-Q2</f>
        <v>0</v>
      </c>
      <c r="S2" s="28">
        <f>R2/P2</f>
        <v>0</v>
      </c>
      <c r="T2" s="27">
        <f>M2*N2*B19</f>
        <v>1945.65</v>
      </c>
      <c r="U2" s="35">
        <f>T2*$B20*B2</f>
        <v>3208376.85</v>
      </c>
      <c r="V2">
        <f>12.4/100</f>
        <v>0.124</v>
      </c>
      <c r="W2" s="52">
        <f>U2*V2</f>
        <v>397838.72940000001</v>
      </c>
      <c r="X2" s="61">
        <v>39209.209820000004</v>
      </c>
      <c r="Y2" s="52">
        <f>W2-X2</f>
        <v>358629.51958000002</v>
      </c>
      <c r="Z2">
        <v>2.62</v>
      </c>
      <c r="AA2">
        <v>3.38</v>
      </c>
    </row>
    <row r="3" spans="1:27" x14ac:dyDescent="0.25">
      <c r="A3">
        <v>174240</v>
      </c>
      <c r="B3">
        <v>0.9</v>
      </c>
      <c r="C3">
        <f>A3*B3</f>
        <v>156816</v>
      </c>
      <c r="D3" s="27">
        <f t="shared" ref="D3:D12" si="0">SQRT(A3)</f>
        <v>417.42065114222606</v>
      </c>
      <c r="E3" s="27">
        <v>7.75</v>
      </c>
      <c r="F3" s="27"/>
      <c r="G3" s="28">
        <v>3.5</v>
      </c>
      <c r="H3" s="27">
        <f t="shared" ref="H3:H11" si="1">E3*G3</f>
        <v>27.125</v>
      </c>
      <c r="I3" s="27"/>
      <c r="J3" s="27"/>
      <c r="K3" s="27">
        <f>D3</f>
        <v>417.42065114222606</v>
      </c>
      <c r="L3" s="51">
        <f>C3/K3</f>
        <v>375.67858602800345</v>
      </c>
      <c r="M3" s="1">
        <f t="shared" ref="M3:M12" si="2">ROUNDDOWN(D3/G3,0)</f>
        <v>119</v>
      </c>
      <c r="N3" s="28">
        <f>0.9*N2</f>
        <v>27</v>
      </c>
      <c r="O3" s="1">
        <f>M3*N3</f>
        <v>3213</v>
      </c>
      <c r="P3" s="28">
        <f>N3</f>
        <v>27</v>
      </c>
      <c r="Q3" s="27">
        <f>L3</f>
        <v>375.67858602800345</v>
      </c>
      <c r="R3" s="28">
        <f>K3-Q3</f>
        <v>41.742065114222612</v>
      </c>
      <c r="S3" s="28">
        <f>R3/P3</f>
        <v>1.5460024116378746</v>
      </c>
      <c r="T3" s="27">
        <f>M3*N3*B19</f>
        <v>1751.085</v>
      </c>
      <c r="U3" s="35">
        <f>0.9*U2</f>
        <v>2887539.165</v>
      </c>
      <c r="V3">
        <f t="shared" ref="V3:V11" si="3">12.4/100</f>
        <v>0.124</v>
      </c>
      <c r="W3" s="52">
        <f t="shared" ref="W3:W12" si="4">U3*V3</f>
        <v>358054.85645999998</v>
      </c>
      <c r="X3" s="52">
        <f>0.9*X2</f>
        <v>35288.288838000008</v>
      </c>
      <c r="Y3" s="52">
        <f>W3-X3</f>
        <v>322766.567622</v>
      </c>
      <c r="Z3">
        <v>2.62</v>
      </c>
      <c r="AA3">
        <v>3.38</v>
      </c>
    </row>
    <row r="4" spans="1:27" x14ac:dyDescent="0.25">
      <c r="A4">
        <v>174240</v>
      </c>
      <c r="B4">
        <v>0.8</v>
      </c>
      <c r="C4">
        <f t="shared" ref="C4:C12" si="5">A4*B4</f>
        <v>139392</v>
      </c>
      <c r="D4" s="27">
        <f t="shared" si="0"/>
        <v>417.42065114222606</v>
      </c>
      <c r="E4" s="27">
        <v>7.75</v>
      </c>
      <c r="F4" s="27"/>
      <c r="G4" s="28">
        <v>3.5</v>
      </c>
      <c r="H4" s="27">
        <f t="shared" si="1"/>
        <v>27.125</v>
      </c>
      <c r="I4" s="27"/>
      <c r="J4" s="27"/>
      <c r="K4" s="27">
        <f t="shared" ref="K4:K11" si="6">D4</f>
        <v>417.42065114222606</v>
      </c>
      <c r="L4" s="51">
        <f>C4/D4</f>
        <v>333.93652091378084</v>
      </c>
      <c r="M4" s="1">
        <f t="shared" si="2"/>
        <v>119</v>
      </c>
      <c r="N4" s="28">
        <f>0.8*N2</f>
        <v>24</v>
      </c>
      <c r="O4" s="1">
        <f>M4*N4</f>
        <v>2856</v>
      </c>
      <c r="P4" s="28">
        <f t="shared" ref="P4:P12" si="7">N4</f>
        <v>24</v>
      </c>
      <c r="Q4" s="27">
        <f t="shared" ref="Q4:Q12" si="8">L4</f>
        <v>333.93652091378084</v>
      </c>
      <c r="R4" s="28">
        <f t="shared" ref="R4:R12" si="9">K4-Q4</f>
        <v>83.484130228445224</v>
      </c>
      <c r="S4" s="28">
        <f t="shared" ref="S4:S12" si="10">R4/P4</f>
        <v>3.4785054261852175</v>
      </c>
      <c r="T4" s="27">
        <f>M4*N4*B19</f>
        <v>1556.5200000000002</v>
      </c>
      <c r="U4" s="35">
        <f>0.8*U2</f>
        <v>2566701.4800000004</v>
      </c>
      <c r="V4">
        <f t="shared" si="3"/>
        <v>0.124</v>
      </c>
      <c r="W4" s="52">
        <f t="shared" si="4"/>
        <v>318270.98352000007</v>
      </c>
      <c r="X4" s="52">
        <f>0.8*X3</f>
        <v>28230.631070400006</v>
      </c>
      <c r="Y4" s="52">
        <f>W4-X4</f>
        <v>290040.35244960006</v>
      </c>
      <c r="Z4">
        <v>2.62</v>
      </c>
      <c r="AA4">
        <v>3.38</v>
      </c>
    </row>
    <row r="5" spans="1:27" x14ac:dyDescent="0.25">
      <c r="A5">
        <v>174240</v>
      </c>
      <c r="B5">
        <v>0.7</v>
      </c>
      <c r="C5">
        <f t="shared" si="5"/>
        <v>121967.99999999999</v>
      </c>
      <c r="D5" s="27">
        <f t="shared" si="0"/>
        <v>417.42065114222606</v>
      </c>
      <c r="E5" s="27">
        <v>7.75</v>
      </c>
      <c r="F5" s="27"/>
      <c r="G5" s="28">
        <v>3.5</v>
      </c>
      <c r="H5" s="27">
        <f t="shared" si="1"/>
        <v>27.125</v>
      </c>
      <c r="I5" s="27"/>
      <c r="J5" s="27"/>
      <c r="K5" s="27">
        <f t="shared" si="6"/>
        <v>417.42065114222606</v>
      </c>
      <c r="L5" s="51">
        <f>C5/D5</f>
        <v>292.19445579955823</v>
      </c>
      <c r="M5" s="1">
        <f>ROUNDDOWN(D5/G5,0)</f>
        <v>119</v>
      </c>
      <c r="N5" s="28">
        <f>0.7*N2</f>
        <v>21</v>
      </c>
      <c r="O5" s="1">
        <f>M5*N5</f>
        <v>2499</v>
      </c>
      <c r="P5" s="28">
        <f t="shared" si="7"/>
        <v>21</v>
      </c>
      <c r="Q5" s="27">
        <f t="shared" si="8"/>
        <v>292.19445579955823</v>
      </c>
      <c r="R5" s="28">
        <f t="shared" si="9"/>
        <v>125.22619534266784</v>
      </c>
      <c r="S5" s="28">
        <f t="shared" si="10"/>
        <v>5.9631521591746592</v>
      </c>
      <c r="T5" s="27">
        <f>M5*N5*B19</f>
        <v>1361.9550000000002</v>
      </c>
      <c r="U5" s="35">
        <f>0.7*U2</f>
        <v>2245863.7949999999</v>
      </c>
      <c r="V5">
        <f t="shared" si="3"/>
        <v>0.124</v>
      </c>
      <c r="W5" s="52">
        <f t="shared" si="4"/>
        <v>278487.11057999998</v>
      </c>
      <c r="X5" s="52">
        <f>0.7*X4</f>
        <v>19761.441749280002</v>
      </c>
      <c r="Y5" s="52">
        <f t="shared" ref="Y5:Y12" si="11">W5-X5</f>
        <v>258725.66883071998</v>
      </c>
      <c r="Z5">
        <v>2.62</v>
      </c>
      <c r="AA5">
        <v>3.38</v>
      </c>
    </row>
    <row r="6" spans="1:27" x14ac:dyDescent="0.25">
      <c r="A6">
        <v>174240</v>
      </c>
      <c r="B6">
        <v>0.6</v>
      </c>
      <c r="C6">
        <f t="shared" si="5"/>
        <v>104544</v>
      </c>
      <c r="D6" s="27">
        <f t="shared" si="0"/>
        <v>417.42065114222606</v>
      </c>
      <c r="E6" s="27">
        <v>7.75</v>
      </c>
      <c r="F6" s="27"/>
      <c r="G6" s="28">
        <v>3.5</v>
      </c>
      <c r="H6" s="27">
        <f t="shared" si="1"/>
        <v>27.125</v>
      </c>
      <c r="I6" s="27"/>
      <c r="J6" s="27"/>
      <c r="K6" s="27">
        <f t="shared" si="6"/>
        <v>417.42065114222606</v>
      </c>
      <c r="L6" s="51">
        <f>C6/D6</f>
        <v>250.45239068533564</v>
      </c>
      <c r="M6" s="1">
        <f>ROUNDDOWN(D6/G6,0)</f>
        <v>119</v>
      </c>
      <c r="N6" s="28">
        <f>0.6*N2</f>
        <v>18</v>
      </c>
      <c r="O6" s="1">
        <f t="shared" ref="O6:O12" si="12">M6*N6</f>
        <v>2142</v>
      </c>
      <c r="P6" s="28">
        <f t="shared" si="7"/>
        <v>18</v>
      </c>
      <c r="Q6" s="27">
        <f t="shared" si="8"/>
        <v>250.45239068533564</v>
      </c>
      <c r="R6" s="28">
        <f t="shared" si="9"/>
        <v>166.96826045689042</v>
      </c>
      <c r="S6" s="28">
        <f t="shared" si="10"/>
        <v>9.2760144698272455</v>
      </c>
      <c r="T6" s="27">
        <f>M6*N6*B19</f>
        <v>1167.3900000000001</v>
      </c>
      <c r="U6" s="35">
        <f>0.6*U2</f>
        <v>1925026.1099999999</v>
      </c>
      <c r="V6">
        <f t="shared" si="3"/>
        <v>0.124</v>
      </c>
      <c r="W6" s="52">
        <f t="shared" si="4"/>
        <v>238703.23763999998</v>
      </c>
      <c r="X6" s="52">
        <f>0.6*X5</f>
        <v>11856.865049568001</v>
      </c>
      <c r="Y6" s="52">
        <f t="shared" si="11"/>
        <v>226846.37259043197</v>
      </c>
      <c r="Z6">
        <v>2.62</v>
      </c>
      <c r="AA6">
        <v>3.38</v>
      </c>
    </row>
    <row r="7" spans="1:27" x14ac:dyDescent="0.25">
      <c r="A7">
        <v>174240</v>
      </c>
      <c r="B7">
        <v>0.5</v>
      </c>
      <c r="C7">
        <f t="shared" si="5"/>
        <v>87120</v>
      </c>
      <c r="D7" s="27">
        <f t="shared" si="0"/>
        <v>417.42065114222606</v>
      </c>
      <c r="E7" s="27">
        <v>7.75</v>
      </c>
      <c r="F7" s="27"/>
      <c r="G7" s="28">
        <v>3.5</v>
      </c>
      <c r="H7" s="27">
        <f t="shared" si="1"/>
        <v>27.125</v>
      </c>
      <c r="I7" s="27"/>
      <c r="J7" s="27"/>
      <c r="K7" s="27">
        <f t="shared" si="6"/>
        <v>417.42065114222606</v>
      </c>
      <c r="L7" s="51">
        <f t="shared" ref="L7:L12" si="13">C7/K7</f>
        <v>208.71032557111303</v>
      </c>
      <c r="M7" s="1">
        <f t="shared" si="2"/>
        <v>119</v>
      </c>
      <c r="N7" s="28">
        <f>0.5*N2</f>
        <v>15</v>
      </c>
      <c r="O7" s="1">
        <f t="shared" si="12"/>
        <v>1785</v>
      </c>
      <c r="P7" s="28">
        <f t="shared" si="7"/>
        <v>15</v>
      </c>
      <c r="Q7" s="27">
        <f t="shared" si="8"/>
        <v>208.71032557111303</v>
      </c>
      <c r="R7" s="28">
        <f t="shared" si="9"/>
        <v>208.71032557111303</v>
      </c>
      <c r="S7" s="28">
        <f t="shared" si="10"/>
        <v>13.914021704740868</v>
      </c>
      <c r="T7" s="27">
        <f>M7*N7*B19</f>
        <v>972.82500000000005</v>
      </c>
      <c r="U7" s="35">
        <f>0.5*U2</f>
        <v>1604188.425</v>
      </c>
      <c r="V7">
        <f t="shared" si="3"/>
        <v>0.124</v>
      </c>
      <c r="W7" s="52">
        <f t="shared" si="4"/>
        <v>198919.36470000001</v>
      </c>
      <c r="X7" s="52">
        <f>0.5*X6</f>
        <v>5928.4325247840006</v>
      </c>
      <c r="Y7" s="52">
        <f t="shared" si="11"/>
        <v>192990.932175216</v>
      </c>
      <c r="Z7">
        <v>2.62</v>
      </c>
      <c r="AA7">
        <v>3.38</v>
      </c>
    </row>
    <row r="8" spans="1:27" x14ac:dyDescent="0.25">
      <c r="A8">
        <v>174240</v>
      </c>
      <c r="B8">
        <v>0.4</v>
      </c>
      <c r="C8">
        <f t="shared" si="5"/>
        <v>69696</v>
      </c>
      <c r="D8" s="27">
        <f t="shared" si="0"/>
        <v>417.42065114222606</v>
      </c>
      <c r="E8" s="27">
        <v>7.75</v>
      </c>
      <c r="F8" s="27"/>
      <c r="G8" s="28">
        <v>3.5</v>
      </c>
      <c r="H8" s="27">
        <f t="shared" si="1"/>
        <v>27.125</v>
      </c>
      <c r="I8" s="27"/>
      <c r="J8" s="27"/>
      <c r="K8" s="27">
        <f t="shared" si="6"/>
        <v>417.42065114222606</v>
      </c>
      <c r="L8" s="51">
        <f t="shared" si="13"/>
        <v>166.96826045689042</v>
      </c>
      <c r="M8" s="1">
        <f t="shared" si="2"/>
        <v>119</v>
      </c>
      <c r="N8" s="28">
        <f>0.4*N2</f>
        <v>12</v>
      </c>
      <c r="O8" s="1">
        <f t="shared" si="12"/>
        <v>1428</v>
      </c>
      <c r="P8" s="28">
        <f t="shared" si="7"/>
        <v>12</v>
      </c>
      <c r="Q8" s="27">
        <f t="shared" si="8"/>
        <v>166.96826045689042</v>
      </c>
      <c r="R8" s="28">
        <f t="shared" si="9"/>
        <v>250.45239068533564</v>
      </c>
      <c r="S8" s="28">
        <f t="shared" si="10"/>
        <v>20.871032557111302</v>
      </c>
      <c r="T8" s="27">
        <f>M8*N8*B19</f>
        <v>778.2600000000001</v>
      </c>
      <c r="U8" s="35">
        <f>0.4*U2</f>
        <v>1283350.7400000002</v>
      </c>
      <c r="V8">
        <f t="shared" si="3"/>
        <v>0.124</v>
      </c>
      <c r="W8" s="52">
        <f t="shared" si="4"/>
        <v>159135.49176000003</v>
      </c>
      <c r="X8" s="52">
        <f>0.4*X7</f>
        <v>2371.3730099136005</v>
      </c>
      <c r="Y8" s="52">
        <f t="shared" si="11"/>
        <v>156764.11875008643</v>
      </c>
      <c r="Z8">
        <v>2.62</v>
      </c>
      <c r="AA8">
        <v>3.38</v>
      </c>
    </row>
    <row r="9" spans="1:27" x14ac:dyDescent="0.25">
      <c r="A9">
        <v>174240</v>
      </c>
      <c r="B9">
        <v>0.3</v>
      </c>
      <c r="C9">
        <f t="shared" si="5"/>
        <v>52272</v>
      </c>
      <c r="D9" s="27">
        <f t="shared" si="0"/>
        <v>417.42065114222606</v>
      </c>
      <c r="E9" s="27">
        <v>7.75</v>
      </c>
      <c r="F9" s="27"/>
      <c r="G9" s="28">
        <v>3.5</v>
      </c>
      <c r="H9" s="27">
        <f t="shared" si="1"/>
        <v>27.125</v>
      </c>
      <c r="I9" s="27"/>
      <c r="J9" s="27"/>
      <c r="K9" s="27">
        <f t="shared" si="6"/>
        <v>417.42065114222606</v>
      </c>
      <c r="L9" s="51">
        <f t="shared" si="13"/>
        <v>125.22619534266782</v>
      </c>
      <c r="M9" s="1">
        <f t="shared" si="2"/>
        <v>119</v>
      </c>
      <c r="N9" s="28">
        <f>0.3*N2</f>
        <v>9</v>
      </c>
      <c r="O9" s="1">
        <f t="shared" si="12"/>
        <v>1071</v>
      </c>
      <c r="P9" s="28">
        <f t="shared" si="7"/>
        <v>9</v>
      </c>
      <c r="Q9" s="27">
        <f t="shared" si="8"/>
        <v>125.22619534266782</v>
      </c>
      <c r="R9" s="28">
        <f t="shared" si="9"/>
        <v>292.19445579955823</v>
      </c>
      <c r="S9" s="28">
        <f t="shared" si="10"/>
        <v>32.466050644395359</v>
      </c>
      <c r="T9" s="27">
        <f>M9*N9*B19</f>
        <v>583.69500000000005</v>
      </c>
      <c r="U9" s="35">
        <f>0.3*U2</f>
        <v>962513.05499999993</v>
      </c>
      <c r="V9">
        <f>12.4/100</f>
        <v>0.124</v>
      </c>
      <c r="W9" s="52">
        <f>U9*V9</f>
        <v>119351.61881999999</v>
      </c>
      <c r="X9" s="52">
        <f>0.3*X8</f>
        <v>711.41190297408014</v>
      </c>
      <c r="Y9" s="52">
        <f>W9-X9</f>
        <v>118640.20691702591</v>
      </c>
      <c r="Z9">
        <v>2.62</v>
      </c>
      <c r="AA9">
        <v>3.38</v>
      </c>
    </row>
    <row r="10" spans="1:27" x14ac:dyDescent="0.25">
      <c r="A10">
        <v>174240</v>
      </c>
      <c r="B10">
        <v>0.2</v>
      </c>
      <c r="C10">
        <f t="shared" si="5"/>
        <v>34848</v>
      </c>
      <c r="D10" s="27">
        <f t="shared" si="0"/>
        <v>417.42065114222606</v>
      </c>
      <c r="E10" s="27">
        <v>7.75</v>
      </c>
      <c r="F10" s="27"/>
      <c r="G10" s="28">
        <v>3.5</v>
      </c>
      <c r="H10" s="27">
        <f t="shared" si="1"/>
        <v>27.125</v>
      </c>
      <c r="I10" s="27"/>
      <c r="J10" s="27"/>
      <c r="K10" s="27">
        <f t="shared" si="6"/>
        <v>417.42065114222606</v>
      </c>
      <c r="L10" s="51">
        <f t="shared" si="13"/>
        <v>83.48413022844521</v>
      </c>
      <c r="M10" s="1">
        <f t="shared" si="2"/>
        <v>119</v>
      </c>
      <c r="N10" s="28">
        <f>0.2*N2</f>
        <v>6</v>
      </c>
      <c r="O10" s="1">
        <f t="shared" si="12"/>
        <v>714</v>
      </c>
      <c r="P10" s="28">
        <f t="shared" si="7"/>
        <v>6</v>
      </c>
      <c r="Q10" s="27">
        <f t="shared" si="8"/>
        <v>83.48413022844521</v>
      </c>
      <c r="R10" s="28">
        <f t="shared" si="9"/>
        <v>333.93652091378084</v>
      </c>
      <c r="S10" s="28">
        <f t="shared" si="10"/>
        <v>55.656086818963473</v>
      </c>
      <c r="T10" s="27">
        <f>M10*N10*B19</f>
        <v>389.13000000000005</v>
      </c>
      <c r="U10" s="35">
        <f>0.2*U2</f>
        <v>641675.37000000011</v>
      </c>
      <c r="V10">
        <f t="shared" si="3"/>
        <v>0.124</v>
      </c>
      <c r="W10" s="52">
        <f>U10*V10</f>
        <v>79567.745880000017</v>
      </c>
      <c r="X10" s="52">
        <f>0.2*X9</f>
        <v>142.28238059481603</v>
      </c>
      <c r="Y10" s="52">
        <f t="shared" si="11"/>
        <v>79425.463499405203</v>
      </c>
      <c r="Z10">
        <v>2.62</v>
      </c>
      <c r="AA10">
        <v>3.38</v>
      </c>
    </row>
    <row r="11" spans="1:27" x14ac:dyDescent="0.25">
      <c r="A11">
        <v>174240</v>
      </c>
      <c r="B11">
        <v>0.1</v>
      </c>
      <c r="C11">
        <f t="shared" si="5"/>
        <v>17424</v>
      </c>
      <c r="D11" s="27">
        <f t="shared" si="0"/>
        <v>417.42065114222606</v>
      </c>
      <c r="E11" s="27">
        <v>7.75</v>
      </c>
      <c r="F11" s="27"/>
      <c r="G11" s="28">
        <v>3.5</v>
      </c>
      <c r="H11" s="27">
        <f t="shared" si="1"/>
        <v>27.125</v>
      </c>
      <c r="I11" s="27"/>
      <c r="J11" s="27"/>
      <c r="K11" s="27">
        <f t="shared" si="6"/>
        <v>417.42065114222606</v>
      </c>
      <c r="L11" s="51">
        <f t="shared" si="13"/>
        <v>41.742065114222605</v>
      </c>
      <c r="M11" s="1">
        <f t="shared" si="2"/>
        <v>119</v>
      </c>
      <c r="N11" s="28">
        <f>0.1*N2</f>
        <v>3</v>
      </c>
      <c r="O11" s="1">
        <f t="shared" si="12"/>
        <v>357</v>
      </c>
      <c r="P11" s="28">
        <f t="shared" si="7"/>
        <v>3</v>
      </c>
      <c r="Q11" s="27">
        <f t="shared" si="8"/>
        <v>41.742065114222605</v>
      </c>
      <c r="R11" s="28">
        <f t="shared" si="9"/>
        <v>375.67858602800345</v>
      </c>
      <c r="S11" s="28">
        <f t="shared" si="10"/>
        <v>125.22619534266782</v>
      </c>
      <c r="T11" s="27">
        <f>M11*N11*B19</f>
        <v>194.56500000000003</v>
      </c>
      <c r="U11" s="35">
        <f>0.1*U2</f>
        <v>320837.68500000006</v>
      </c>
      <c r="V11">
        <f t="shared" si="3"/>
        <v>0.124</v>
      </c>
      <c r="W11" s="52">
        <f t="shared" si="4"/>
        <v>39783.872940000008</v>
      </c>
      <c r="X11" s="52">
        <f>0.1*X10</f>
        <v>14.228238059481605</v>
      </c>
      <c r="Y11" s="52">
        <f t="shared" si="11"/>
        <v>39769.644701940524</v>
      </c>
      <c r="Z11">
        <v>2.62</v>
      </c>
      <c r="AA11">
        <v>3.38</v>
      </c>
    </row>
    <row r="12" spans="1:27" x14ac:dyDescent="0.25">
      <c r="A12">
        <v>174240</v>
      </c>
      <c r="B12">
        <v>0</v>
      </c>
      <c r="C12">
        <f t="shared" si="5"/>
        <v>0</v>
      </c>
      <c r="D12" s="27">
        <f t="shared" si="0"/>
        <v>417.42065114222606</v>
      </c>
      <c r="E12" s="27">
        <v>7.75</v>
      </c>
      <c r="F12" s="27"/>
      <c r="G12" s="28">
        <v>3.5</v>
      </c>
      <c r="H12" s="27">
        <f>E12*G12</f>
        <v>27.125</v>
      </c>
      <c r="I12" s="27"/>
      <c r="J12" s="27"/>
      <c r="K12" s="27">
        <f>D12</f>
        <v>417.42065114222606</v>
      </c>
      <c r="L12" s="51">
        <f t="shared" si="13"/>
        <v>0</v>
      </c>
      <c r="M12" s="1">
        <f t="shared" si="2"/>
        <v>119</v>
      </c>
      <c r="N12" s="28">
        <f>0*N2</f>
        <v>0</v>
      </c>
      <c r="O12" s="1">
        <f t="shared" si="12"/>
        <v>0</v>
      </c>
      <c r="P12" s="28">
        <f t="shared" si="7"/>
        <v>0</v>
      </c>
      <c r="Q12" s="27">
        <f t="shared" si="8"/>
        <v>0</v>
      </c>
      <c r="R12" s="28">
        <f t="shared" si="9"/>
        <v>417.42065114222606</v>
      </c>
      <c r="S12" s="28" t="e">
        <f t="shared" si="10"/>
        <v>#DIV/0!</v>
      </c>
      <c r="T12" s="27">
        <f>M12*N12*B19</f>
        <v>0</v>
      </c>
      <c r="U12" s="35">
        <f>0*U2</f>
        <v>0</v>
      </c>
      <c r="V12">
        <f>12.4/100</f>
        <v>0.124</v>
      </c>
      <c r="W12" s="52">
        <f t="shared" si="4"/>
        <v>0</v>
      </c>
      <c r="X12" s="52">
        <f>0*X2</f>
        <v>0</v>
      </c>
      <c r="Y12" s="52">
        <f t="shared" si="11"/>
        <v>0</v>
      </c>
      <c r="Z12">
        <v>2.62</v>
      </c>
      <c r="AA12">
        <v>3.38</v>
      </c>
    </row>
    <row r="14" spans="1:27" x14ac:dyDescent="0.25">
      <c r="A14" t="s">
        <v>59</v>
      </c>
      <c r="B14" s="27">
        <f>(B15/B18)*(B19/1000)</f>
        <v>6.1662857142857144E-2</v>
      </c>
      <c r="O14" s="35"/>
    </row>
    <row r="15" spans="1:27" x14ac:dyDescent="0.25">
      <c r="A15" t="s">
        <v>58</v>
      </c>
      <c r="B15">
        <v>396</v>
      </c>
    </row>
    <row r="16" spans="1:27" ht="15.75" thickBot="1" x14ac:dyDescent="0.3">
      <c r="A16" t="s">
        <v>60</v>
      </c>
      <c r="L16" t="s">
        <v>16</v>
      </c>
      <c r="M16" t="s">
        <v>17</v>
      </c>
      <c r="N16" t="s">
        <v>16</v>
      </c>
      <c r="O16" t="s">
        <v>17</v>
      </c>
      <c r="P16" t="s">
        <v>16</v>
      </c>
      <c r="Q16" t="s">
        <v>17</v>
      </c>
      <c r="R16" t="s">
        <v>16</v>
      </c>
      <c r="S16" t="s">
        <v>17</v>
      </c>
      <c r="T16" t="s">
        <v>16</v>
      </c>
      <c r="U16" t="s">
        <v>17</v>
      </c>
      <c r="V16" t="s">
        <v>16</v>
      </c>
      <c r="W16" t="s">
        <v>17</v>
      </c>
      <c r="X16" t="s">
        <v>16</v>
      </c>
      <c r="Y16" t="s">
        <v>17</v>
      </c>
      <c r="Z16" t="s">
        <v>16</v>
      </c>
      <c r="AA16" t="s">
        <v>17</v>
      </c>
    </row>
    <row r="17" spans="1:28" x14ac:dyDescent="0.25">
      <c r="A17" t="s">
        <v>61</v>
      </c>
      <c r="B17">
        <v>7.75</v>
      </c>
      <c r="D17" s="17" t="s">
        <v>14</v>
      </c>
      <c r="E17" s="18">
        <v>4</v>
      </c>
      <c r="K17">
        <v>3.5</v>
      </c>
      <c r="L17" s="21"/>
      <c r="M17" s="24"/>
      <c r="N17" s="21"/>
      <c r="O17" s="24"/>
      <c r="P17" s="21"/>
      <c r="Q17" s="24"/>
      <c r="R17" s="21"/>
      <c r="S17" s="24"/>
      <c r="T17" s="21"/>
      <c r="U17" s="24"/>
      <c r="V17" s="21"/>
      <c r="W17" s="24"/>
      <c r="X17" s="21"/>
      <c r="Y17" s="24"/>
      <c r="Z17" s="21"/>
      <c r="AA17" s="24"/>
      <c r="AB17" s="57"/>
    </row>
    <row r="18" spans="1:28" x14ac:dyDescent="0.25">
      <c r="A18" t="s">
        <v>62</v>
      </c>
      <c r="B18">
        <v>3.5</v>
      </c>
      <c r="D18" s="19" t="s">
        <v>19</v>
      </c>
      <c r="E18" s="31">
        <v>43560</v>
      </c>
      <c r="K18">
        <v>3.5</v>
      </c>
      <c r="L18" s="22"/>
      <c r="M18" s="25"/>
      <c r="N18" s="22"/>
      <c r="O18" s="25"/>
      <c r="P18" s="22"/>
      <c r="Q18" s="25"/>
      <c r="R18" s="22"/>
      <c r="S18" s="25"/>
      <c r="T18" s="22"/>
      <c r="U18" s="25"/>
      <c r="V18" s="22"/>
      <c r="W18" s="25"/>
      <c r="X18" s="22"/>
      <c r="Y18" s="25"/>
      <c r="Z18" s="22"/>
      <c r="AA18" s="25"/>
      <c r="AB18" s="58"/>
    </row>
    <row r="19" spans="1:28" x14ac:dyDescent="0.25">
      <c r="A19" t="s">
        <v>67</v>
      </c>
      <c r="B19">
        <f>545/1000</f>
        <v>0.54500000000000004</v>
      </c>
      <c r="D19" s="19" t="s">
        <v>15</v>
      </c>
      <c r="E19" s="20">
        <f>E17*E18</f>
        <v>174240</v>
      </c>
      <c r="K19">
        <v>3.5</v>
      </c>
      <c r="L19" s="22"/>
      <c r="M19" s="25"/>
      <c r="N19" s="22"/>
      <c r="O19" s="25"/>
      <c r="P19" s="22"/>
      <c r="Q19" s="25"/>
      <c r="R19" s="22"/>
      <c r="S19" s="25"/>
      <c r="T19" s="22"/>
      <c r="U19" s="25"/>
      <c r="V19" s="22"/>
      <c r="W19" s="25"/>
      <c r="X19" s="22"/>
      <c r="Y19" s="25"/>
      <c r="Z19" s="22"/>
      <c r="AA19" s="25"/>
      <c r="AB19" s="58"/>
    </row>
    <row r="20" spans="1:28" x14ac:dyDescent="0.25">
      <c r="A20" t="s">
        <v>64</v>
      </c>
      <c r="B20" s="13">
        <v>1649</v>
      </c>
      <c r="D20" s="19" t="s">
        <v>18</v>
      </c>
      <c r="E20" s="32">
        <f>SQRT(E19)</f>
        <v>417.42065114222606</v>
      </c>
      <c r="K20">
        <v>3.5</v>
      </c>
      <c r="L20" s="22"/>
      <c r="M20" s="25"/>
      <c r="N20" s="22"/>
      <c r="O20" s="25"/>
      <c r="P20" s="22"/>
      <c r="Q20" s="25"/>
      <c r="R20" s="22"/>
      <c r="S20" s="25"/>
      <c r="T20" s="22"/>
      <c r="U20" s="25"/>
      <c r="V20" s="22"/>
      <c r="W20" s="25"/>
      <c r="X20" s="22"/>
      <c r="Y20" s="25"/>
      <c r="Z20" s="22"/>
      <c r="AA20" s="25"/>
      <c r="AB20" s="58"/>
    </row>
    <row r="21" spans="1:28" ht="15.75" thickBot="1" x14ac:dyDescent="0.3">
      <c r="D21" s="55" t="s">
        <v>20</v>
      </c>
      <c r="E21" s="32">
        <f>ROUNDDOWN(E20/L48,0)</f>
        <v>30</v>
      </c>
      <c r="K21">
        <v>3.5</v>
      </c>
      <c r="L21" s="22"/>
      <c r="M21" s="25"/>
      <c r="N21" s="22"/>
      <c r="O21" s="25"/>
      <c r="P21" s="22"/>
      <c r="Q21" s="25"/>
      <c r="R21" s="22"/>
      <c r="S21" s="25"/>
      <c r="T21" s="22"/>
      <c r="U21" s="25"/>
      <c r="V21" s="22"/>
      <c r="W21" s="25"/>
      <c r="X21" s="22"/>
      <c r="Y21" s="25"/>
      <c r="Z21" s="22"/>
      <c r="AA21" s="25"/>
      <c r="AB21" s="58"/>
    </row>
    <row r="22" spans="1:28" ht="15.75" thickBot="1" x14ac:dyDescent="0.3">
      <c r="D22" s="9" t="s">
        <v>21</v>
      </c>
      <c r="E22" s="54">
        <f>ROUNDDOWN(E20/K45,0)</f>
        <v>119</v>
      </c>
      <c r="K22">
        <v>3.5</v>
      </c>
      <c r="L22" s="22"/>
      <c r="M22" s="25"/>
      <c r="N22" s="22"/>
      <c r="O22" s="25"/>
      <c r="P22" s="22"/>
      <c r="Q22" s="25"/>
      <c r="R22" s="22"/>
      <c r="S22" s="25"/>
      <c r="T22" s="22"/>
      <c r="U22" s="25"/>
      <c r="V22" s="22"/>
      <c r="W22" s="25"/>
      <c r="X22" s="22"/>
      <c r="Y22" s="25"/>
      <c r="Z22" s="22"/>
      <c r="AA22" s="25"/>
      <c r="AB22" s="58"/>
    </row>
    <row r="23" spans="1:28" ht="15.75" thickBot="1" x14ac:dyDescent="0.3">
      <c r="A23" s="76" t="s">
        <v>33</v>
      </c>
      <c r="B23" s="76"/>
      <c r="C23" s="76"/>
      <c r="D23" s="39" t="s">
        <v>22</v>
      </c>
      <c r="E23" s="11">
        <f>E21*E22</f>
        <v>3570</v>
      </c>
      <c r="K23">
        <v>3.5</v>
      </c>
      <c r="L23" s="22"/>
      <c r="M23" s="25"/>
      <c r="N23" s="22"/>
      <c r="O23" s="25"/>
      <c r="P23" s="22"/>
      <c r="Q23" s="25"/>
      <c r="R23" s="22"/>
      <c r="S23" s="25"/>
      <c r="T23" s="22"/>
      <c r="U23" s="25"/>
      <c r="V23" s="22"/>
      <c r="W23" s="25"/>
      <c r="X23" s="22"/>
      <c r="Y23" s="25"/>
      <c r="Z23" s="22"/>
      <c r="AA23" s="25"/>
      <c r="AB23" s="58"/>
    </row>
    <row r="24" spans="1:28" ht="15.75" thickBot="1" x14ac:dyDescent="0.3">
      <c r="A24" s="6" t="s">
        <v>3</v>
      </c>
      <c r="B24" s="35">
        <f>E27*1000*C24</f>
        <v>27858.851999999999</v>
      </c>
      <c r="C24" s="6">
        <v>0.4</v>
      </c>
      <c r="K24">
        <v>3.5</v>
      </c>
      <c r="L24" s="22"/>
      <c r="M24" s="25"/>
      <c r="N24" s="22"/>
      <c r="O24" s="25"/>
      <c r="P24" s="22"/>
      <c r="Q24" s="25"/>
      <c r="R24" s="22"/>
      <c r="S24" s="25"/>
      <c r="T24" s="22"/>
      <c r="U24" s="25"/>
      <c r="V24" s="22"/>
      <c r="W24" s="25"/>
      <c r="X24" s="22"/>
      <c r="Y24" s="25"/>
      <c r="Z24" s="22"/>
      <c r="AA24" s="25"/>
      <c r="AB24" s="58"/>
    </row>
    <row r="25" spans="1:28" ht="15.75" thickBot="1" x14ac:dyDescent="0.3">
      <c r="A25" s="7" t="s">
        <v>4</v>
      </c>
      <c r="B25" s="35">
        <f>E27*1000*C25</f>
        <v>5571.7703999999994</v>
      </c>
      <c r="C25" s="7">
        <v>0.08</v>
      </c>
      <c r="D25" s="9" t="s">
        <v>70</v>
      </c>
      <c r="E25" s="11">
        <f>E21*E22*0.0929</f>
        <v>331.65299999999996</v>
      </c>
      <c r="K25">
        <v>3.5</v>
      </c>
      <c r="L25" s="22"/>
      <c r="M25" s="25"/>
      <c r="N25" s="22"/>
      <c r="O25" s="25"/>
      <c r="P25" s="22"/>
      <c r="Q25" s="25"/>
      <c r="R25" s="22"/>
      <c r="S25" s="25"/>
      <c r="T25" s="22"/>
      <c r="U25" s="25"/>
      <c r="V25" s="22"/>
      <c r="W25" s="25"/>
      <c r="X25" s="22"/>
      <c r="Y25" s="25"/>
      <c r="Z25" s="22"/>
      <c r="AA25" s="25"/>
      <c r="AB25" s="58"/>
    </row>
    <row r="26" spans="1:28" ht="15.75" thickBot="1" x14ac:dyDescent="0.3">
      <c r="A26" s="7" t="s">
        <v>65</v>
      </c>
      <c r="B26" s="35">
        <f>E27*1000*C26</f>
        <v>22287.081599999998</v>
      </c>
      <c r="C26" s="7">
        <v>0.32</v>
      </c>
      <c r="D26" s="9" t="s">
        <v>12</v>
      </c>
      <c r="E26" s="33">
        <v>0.21</v>
      </c>
      <c r="K26">
        <v>3.5</v>
      </c>
      <c r="L26" s="22"/>
      <c r="M26" s="25"/>
      <c r="N26" s="22"/>
      <c r="O26" s="25"/>
      <c r="P26" s="22"/>
      <c r="Q26" s="25"/>
      <c r="R26" s="22"/>
      <c r="S26" s="25"/>
      <c r="T26" s="22"/>
      <c r="U26" s="25"/>
      <c r="V26" s="22"/>
      <c r="W26" s="25"/>
      <c r="X26" s="22"/>
      <c r="Y26" s="25"/>
      <c r="Z26" s="22"/>
      <c r="AA26" s="25"/>
      <c r="AB26" s="58"/>
    </row>
    <row r="27" spans="1:28" ht="15.75" thickBot="1" x14ac:dyDescent="0.3">
      <c r="A27" s="7" t="s">
        <v>5</v>
      </c>
      <c r="B27" s="35">
        <f>E27*1000*C27</f>
        <v>26465.909399999997</v>
      </c>
      <c r="C27" s="7">
        <v>0.38</v>
      </c>
      <c r="D27" s="8" t="s">
        <v>13</v>
      </c>
      <c r="E27" s="34">
        <f>E25*E26</f>
        <v>69.64712999999999</v>
      </c>
      <c r="K27">
        <v>3.5</v>
      </c>
      <c r="L27" s="22"/>
      <c r="M27" s="25"/>
      <c r="N27" s="22"/>
      <c r="O27" s="25"/>
      <c r="P27" s="22"/>
      <c r="Q27" s="25"/>
      <c r="R27" s="22"/>
      <c r="S27" s="25"/>
      <c r="T27" s="22"/>
      <c r="U27" s="25"/>
      <c r="V27" s="22"/>
      <c r="W27" s="25"/>
      <c r="X27" s="22"/>
      <c r="Y27" s="25"/>
      <c r="Z27" s="22"/>
      <c r="AA27" s="25"/>
      <c r="AB27" s="58"/>
    </row>
    <row r="28" spans="1:28" x14ac:dyDescent="0.25">
      <c r="A28" s="7" t="s">
        <v>6</v>
      </c>
      <c r="B28" s="35">
        <f>E27*1000*C28</f>
        <v>22287.081599999998</v>
      </c>
      <c r="C28" s="7">
        <v>0.32</v>
      </c>
      <c r="K28">
        <v>3.5</v>
      </c>
      <c r="L28" s="22"/>
      <c r="M28" s="25"/>
      <c r="N28" s="22"/>
      <c r="O28" s="25"/>
      <c r="P28" s="22"/>
      <c r="Q28" s="25"/>
      <c r="R28" s="22"/>
      <c r="S28" s="25"/>
      <c r="T28" s="22"/>
      <c r="U28" s="25"/>
      <c r="V28" s="22"/>
      <c r="W28" s="25"/>
      <c r="X28" s="22"/>
      <c r="Y28" s="25"/>
      <c r="Z28" s="22"/>
      <c r="AA28" s="25"/>
      <c r="AB28" s="58"/>
    </row>
    <row r="29" spans="1:28" x14ac:dyDescent="0.25">
      <c r="A29" s="7" t="s">
        <v>7</v>
      </c>
      <c r="B29" s="35">
        <f>E27*1000*C29</f>
        <v>17411.782499999998</v>
      </c>
      <c r="C29" s="7">
        <v>0.25</v>
      </c>
      <c r="K29">
        <v>3.5</v>
      </c>
      <c r="L29" s="22"/>
      <c r="M29" s="25"/>
      <c r="N29" s="22"/>
      <c r="O29" s="25"/>
      <c r="P29" s="22"/>
      <c r="Q29" s="25"/>
      <c r="R29" s="22"/>
      <c r="S29" s="25"/>
      <c r="T29" s="22"/>
      <c r="U29" s="25"/>
      <c r="V29" s="22"/>
      <c r="W29" s="25"/>
      <c r="X29" s="22"/>
      <c r="Y29" s="25"/>
      <c r="Z29" s="22"/>
      <c r="AA29" s="25"/>
      <c r="AB29" s="58"/>
    </row>
    <row r="30" spans="1:28" x14ac:dyDescent="0.25">
      <c r="A30" s="7" t="s">
        <v>8</v>
      </c>
      <c r="B30" s="35">
        <f>E27*1000*C30</f>
        <v>4875.2991000000002</v>
      </c>
      <c r="C30" s="7">
        <v>7.0000000000000007E-2</v>
      </c>
      <c r="K30">
        <v>3.5</v>
      </c>
      <c r="L30" s="22"/>
      <c r="M30" s="25"/>
      <c r="N30" s="22"/>
      <c r="O30" s="25"/>
      <c r="P30" s="22"/>
      <c r="Q30" s="25"/>
      <c r="R30" s="22"/>
      <c r="S30" s="25"/>
      <c r="T30" s="22"/>
      <c r="U30" s="25"/>
      <c r="V30" s="22"/>
      <c r="W30" s="25"/>
      <c r="X30" s="22"/>
      <c r="Y30" s="25"/>
      <c r="Z30" s="22"/>
      <c r="AA30" s="25"/>
      <c r="AB30" s="58"/>
    </row>
    <row r="31" spans="1:28" x14ac:dyDescent="0.25">
      <c r="A31" s="7" t="s">
        <v>9</v>
      </c>
      <c r="B31" s="35">
        <f>E27*1000*C31</f>
        <v>1392.9425999999999</v>
      </c>
      <c r="C31" s="7">
        <v>0.02</v>
      </c>
      <c r="K31">
        <v>3.5</v>
      </c>
      <c r="L31" s="22"/>
      <c r="M31" s="25"/>
      <c r="N31" s="22"/>
      <c r="O31" s="25"/>
      <c r="P31" s="22"/>
      <c r="Q31" s="25"/>
      <c r="R31" s="22"/>
      <c r="S31" s="25"/>
      <c r="T31" s="22"/>
      <c r="U31" s="25"/>
      <c r="V31" s="22"/>
      <c r="W31" s="25"/>
      <c r="X31" s="22"/>
      <c r="Y31" s="25"/>
      <c r="Z31" s="22"/>
      <c r="AA31" s="25"/>
      <c r="AB31" s="58"/>
    </row>
    <row r="32" spans="1:28" x14ac:dyDescent="0.25">
      <c r="A32" s="7" t="s">
        <v>10</v>
      </c>
      <c r="B32" s="35">
        <f>E27*1000*C32</f>
        <v>4875.2991000000002</v>
      </c>
      <c r="C32" s="7">
        <v>7.0000000000000007E-2</v>
      </c>
      <c r="K32">
        <v>3.5</v>
      </c>
      <c r="L32" s="22"/>
      <c r="M32" s="25"/>
      <c r="N32" s="22"/>
      <c r="O32" s="25"/>
      <c r="P32" s="22"/>
      <c r="Q32" s="25"/>
      <c r="R32" s="22"/>
      <c r="S32" s="25"/>
      <c r="T32" s="22"/>
      <c r="U32" s="25"/>
      <c r="V32" s="22"/>
      <c r="W32" s="25"/>
      <c r="X32" s="22"/>
      <c r="Y32" s="25"/>
      <c r="Z32" s="22"/>
      <c r="AA32" s="25"/>
      <c r="AB32" s="58"/>
    </row>
    <row r="33" spans="1:28" x14ac:dyDescent="0.25">
      <c r="A33" s="7" t="s">
        <v>11</v>
      </c>
      <c r="B33" s="35">
        <f>E27*1000*C33</f>
        <v>15322.368599999998</v>
      </c>
      <c r="C33" s="7">
        <v>0.22</v>
      </c>
      <c r="K33">
        <v>3.5</v>
      </c>
      <c r="L33" s="22"/>
      <c r="M33" s="25"/>
      <c r="N33" s="22"/>
      <c r="O33" s="25"/>
      <c r="P33" s="22"/>
      <c r="Q33" s="25"/>
      <c r="R33" s="22"/>
      <c r="S33" s="25"/>
      <c r="T33" s="22"/>
      <c r="U33" s="25"/>
      <c r="V33" s="22"/>
      <c r="W33" s="25"/>
      <c r="X33" s="22"/>
      <c r="Y33" s="25"/>
      <c r="Z33" s="22"/>
      <c r="AA33" s="25"/>
      <c r="AB33" s="58"/>
    </row>
    <row r="34" spans="1:28" ht="15.75" thickBot="1" x14ac:dyDescent="0.3">
      <c r="A34" s="7"/>
      <c r="B34" s="35"/>
      <c r="C34" s="8"/>
      <c r="K34">
        <v>3.5</v>
      </c>
      <c r="L34" s="22"/>
      <c r="M34" s="25"/>
      <c r="N34" s="22"/>
      <c r="O34" s="25"/>
      <c r="P34" s="22"/>
      <c r="Q34" s="25"/>
      <c r="R34" s="22"/>
      <c r="S34" s="25"/>
      <c r="T34" s="22"/>
      <c r="U34" s="25"/>
      <c r="V34" s="22"/>
      <c r="W34" s="25"/>
      <c r="X34" s="22"/>
      <c r="Y34" s="25"/>
      <c r="Z34" s="22"/>
      <c r="AA34" s="25"/>
      <c r="AB34" s="58"/>
    </row>
    <row r="35" spans="1:28" ht="15.75" thickBot="1" x14ac:dyDescent="0.3">
      <c r="A35" s="12" t="s">
        <v>32</v>
      </c>
      <c r="B35" s="43">
        <f>SUM(B24:B33)</f>
        <v>148348.38689999998</v>
      </c>
      <c r="C35" s="8"/>
      <c r="K35">
        <v>3.5</v>
      </c>
      <c r="L35" s="22"/>
      <c r="M35" s="25"/>
      <c r="N35" s="22"/>
      <c r="O35" s="25"/>
      <c r="P35" s="22"/>
      <c r="Q35" s="25"/>
      <c r="R35" s="22"/>
      <c r="S35" s="25"/>
      <c r="T35" s="22"/>
      <c r="U35" s="25"/>
      <c r="V35" s="22"/>
      <c r="W35" s="25"/>
      <c r="X35" s="22"/>
      <c r="Y35" s="25"/>
      <c r="Z35" s="22"/>
      <c r="AA35" s="25"/>
      <c r="AB35" s="58"/>
    </row>
    <row r="36" spans="1:28" x14ac:dyDescent="0.25">
      <c r="K36">
        <v>3.5</v>
      </c>
      <c r="L36" s="22"/>
      <c r="M36" s="25"/>
      <c r="N36" s="22"/>
      <c r="O36" s="25"/>
      <c r="P36" s="22"/>
      <c r="Q36" s="25"/>
      <c r="R36" s="22"/>
      <c r="S36" s="25"/>
      <c r="T36" s="22"/>
      <c r="U36" s="25"/>
      <c r="V36" s="22"/>
      <c r="W36" s="25"/>
      <c r="X36" s="22"/>
      <c r="Y36" s="25"/>
      <c r="Z36" s="22"/>
      <c r="AA36" s="25"/>
      <c r="AB36" s="58"/>
    </row>
    <row r="37" spans="1:28" x14ac:dyDescent="0.25">
      <c r="K37">
        <v>3.5</v>
      </c>
      <c r="L37" s="22"/>
      <c r="M37" s="25"/>
      <c r="N37" s="22"/>
      <c r="O37" s="25"/>
      <c r="P37" s="22"/>
      <c r="Q37" s="25"/>
      <c r="R37" s="22"/>
      <c r="S37" s="25"/>
      <c r="T37" s="22"/>
      <c r="U37" s="25"/>
      <c r="V37" s="22"/>
      <c r="W37" s="25"/>
      <c r="X37" s="22"/>
      <c r="Y37" s="25"/>
      <c r="Z37" s="22"/>
      <c r="AA37" s="25"/>
      <c r="AB37" s="58"/>
    </row>
    <row r="38" spans="1:28" x14ac:dyDescent="0.25">
      <c r="D38" t="s">
        <v>75</v>
      </c>
      <c r="E38">
        <f>1945.65*15</f>
        <v>29184.75</v>
      </c>
      <c r="F38">
        <v>1</v>
      </c>
      <c r="G38">
        <v>1</v>
      </c>
      <c r="H38">
        <v>1</v>
      </c>
      <c r="I38">
        <f>$H$64</f>
        <v>10024.459816080442</v>
      </c>
      <c r="J38">
        <f>I38*G38</f>
        <v>10024.459816080442</v>
      </c>
      <c r="K38">
        <v>3.5</v>
      </c>
      <c r="L38" s="22"/>
      <c r="M38" s="25"/>
      <c r="N38" s="22"/>
      <c r="O38" s="25"/>
      <c r="P38" s="22"/>
      <c r="Q38" s="25"/>
      <c r="R38" s="22"/>
      <c r="S38" s="25"/>
      <c r="T38" s="22"/>
      <c r="U38" s="25"/>
      <c r="V38" s="22"/>
      <c r="W38" s="25"/>
      <c r="X38" s="22"/>
      <c r="Y38" s="25"/>
      <c r="Z38" s="22"/>
      <c r="AA38" s="25"/>
      <c r="AB38" s="58"/>
    </row>
    <row r="39" spans="1:28" x14ac:dyDescent="0.25">
      <c r="D39" t="s">
        <v>76</v>
      </c>
      <c r="E39">
        <v>148348.39000000001</v>
      </c>
      <c r="F39">
        <v>2</v>
      </c>
      <c r="G39">
        <f>1/(1+$E$41)^(F39-1)</f>
        <v>0.95238095238095233</v>
      </c>
      <c r="H39">
        <v>1</v>
      </c>
      <c r="I39">
        <f t="shared" ref="I39:I63" si="14">$H$64</f>
        <v>10024.459816080442</v>
      </c>
      <c r="J39">
        <f t="shared" ref="J39:J62" si="15">I39*G39</f>
        <v>9547.1045867432767</v>
      </c>
      <c r="K39">
        <v>3.5</v>
      </c>
      <c r="L39" s="22"/>
      <c r="M39" s="25"/>
      <c r="N39" s="22"/>
      <c r="O39" s="25"/>
      <c r="P39" s="22"/>
      <c r="Q39" s="25"/>
      <c r="R39" s="22"/>
      <c r="S39" s="25"/>
      <c r="T39" s="22"/>
      <c r="U39" s="25"/>
      <c r="V39" s="22"/>
      <c r="W39" s="25"/>
      <c r="X39" s="22"/>
      <c r="Y39" s="25"/>
      <c r="Z39" s="22"/>
      <c r="AA39" s="25"/>
      <c r="AB39" s="58"/>
    </row>
    <row r="40" spans="1:28" x14ac:dyDescent="0.25">
      <c r="D40" t="s">
        <v>77</v>
      </c>
      <c r="E40">
        <v>25</v>
      </c>
      <c r="F40">
        <v>3</v>
      </c>
      <c r="G40">
        <f t="shared" ref="G40:G62" si="16">1/(1+$E$41)^(F40-1)</f>
        <v>0.90702947845804982</v>
      </c>
      <c r="H40">
        <v>1</v>
      </c>
      <c r="I40">
        <f t="shared" si="14"/>
        <v>10024.459816080442</v>
      </c>
      <c r="J40">
        <f t="shared" si="15"/>
        <v>9092.4805588031213</v>
      </c>
      <c r="K40">
        <v>3.5</v>
      </c>
      <c r="L40" s="22"/>
      <c r="M40" s="25"/>
      <c r="N40" s="22"/>
      <c r="O40" s="25"/>
      <c r="P40" s="22"/>
      <c r="Q40" s="25"/>
      <c r="R40" s="22"/>
      <c r="S40" s="25"/>
      <c r="T40" s="22"/>
      <c r="U40" s="25"/>
      <c r="V40" s="22"/>
      <c r="W40" s="25"/>
      <c r="X40" s="22"/>
      <c r="Y40" s="25"/>
      <c r="Z40" s="22"/>
      <c r="AA40" s="25"/>
      <c r="AB40" s="58"/>
    </row>
    <row r="41" spans="1:28" x14ac:dyDescent="0.25">
      <c r="D41" t="s">
        <v>78</v>
      </c>
      <c r="E41">
        <v>0.05</v>
      </c>
      <c r="F41">
        <v>4</v>
      </c>
      <c r="G41">
        <f t="shared" si="16"/>
        <v>0.86383759853147601</v>
      </c>
      <c r="H41">
        <v>1</v>
      </c>
      <c r="I41">
        <f t="shared" si="14"/>
        <v>10024.459816080442</v>
      </c>
      <c r="J41">
        <f t="shared" si="15"/>
        <v>8659.5052940982096</v>
      </c>
      <c r="K41">
        <v>3.5</v>
      </c>
      <c r="L41" s="22"/>
      <c r="M41" s="25"/>
      <c r="N41" s="22"/>
      <c r="O41" s="25"/>
      <c r="P41" s="22"/>
      <c r="Q41" s="25"/>
      <c r="R41" s="22"/>
      <c r="S41" s="25"/>
      <c r="T41" s="22"/>
      <c r="U41" s="25"/>
      <c r="V41" s="22"/>
      <c r="W41" s="25"/>
      <c r="X41" s="22"/>
      <c r="Y41" s="25"/>
      <c r="Z41" s="22"/>
      <c r="AA41" s="25"/>
      <c r="AB41" s="58"/>
    </row>
    <row r="42" spans="1:28" x14ac:dyDescent="0.25">
      <c r="D42" t="s">
        <v>79</v>
      </c>
      <c r="E42">
        <v>10024.45982</v>
      </c>
      <c r="F42">
        <v>5</v>
      </c>
      <c r="G42">
        <f t="shared" si="16"/>
        <v>0.82270247479188197</v>
      </c>
      <c r="H42">
        <v>1</v>
      </c>
      <c r="I42">
        <f t="shared" si="14"/>
        <v>10024.459816080442</v>
      </c>
      <c r="J42">
        <f t="shared" si="15"/>
        <v>8247.1478991411532</v>
      </c>
      <c r="K42">
        <v>3.5</v>
      </c>
      <c r="L42" s="22"/>
      <c r="M42" s="25"/>
      <c r="N42" s="22"/>
      <c r="O42" s="25"/>
      <c r="P42" s="22"/>
      <c r="Q42" s="25"/>
      <c r="R42" s="22"/>
      <c r="S42" s="25"/>
      <c r="T42" s="22"/>
      <c r="U42" s="25"/>
      <c r="V42" s="22"/>
      <c r="W42" s="25"/>
      <c r="X42" s="22"/>
      <c r="Y42" s="25"/>
      <c r="Z42" s="22"/>
      <c r="AA42" s="25"/>
      <c r="AB42" s="58"/>
    </row>
    <row r="43" spans="1:28" x14ac:dyDescent="0.25">
      <c r="F43">
        <v>6</v>
      </c>
      <c r="G43">
        <f t="shared" si="16"/>
        <v>0.78352616646845896</v>
      </c>
      <c r="H43">
        <v>1</v>
      </c>
      <c r="I43">
        <f t="shared" si="14"/>
        <v>10024.459816080442</v>
      </c>
      <c r="J43">
        <f t="shared" si="15"/>
        <v>7854.4265706106216</v>
      </c>
      <c r="K43">
        <v>3.5</v>
      </c>
      <c r="L43" s="22"/>
      <c r="M43" s="25"/>
      <c r="N43" s="22"/>
      <c r="O43" s="25"/>
      <c r="P43" s="22"/>
      <c r="Q43" s="25"/>
      <c r="R43" s="22"/>
      <c r="S43" s="25"/>
      <c r="T43" s="22"/>
      <c r="U43" s="25"/>
      <c r="V43" s="22"/>
      <c r="W43" s="25"/>
      <c r="X43" s="22"/>
      <c r="Y43" s="25"/>
      <c r="Z43" s="22"/>
      <c r="AA43" s="25"/>
      <c r="AB43" s="58"/>
    </row>
    <row r="44" spans="1:28" x14ac:dyDescent="0.25">
      <c r="D44" t="s">
        <v>80</v>
      </c>
      <c r="E44" s="61">
        <f>E38+E42</f>
        <v>39209.209820000004</v>
      </c>
      <c r="F44">
        <v>7</v>
      </c>
      <c r="G44">
        <f t="shared" si="16"/>
        <v>0.74621539663662761</v>
      </c>
      <c r="H44">
        <v>1</v>
      </c>
      <c r="I44">
        <f t="shared" si="14"/>
        <v>10024.459816080442</v>
      </c>
      <c r="J44">
        <f t="shared" si="15"/>
        <v>7480.4062577244022</v>
      </c>
      <c r="K44">
        <v>3.5</v>
      </c>
      <c r="L44" s="22"/>
      <c r="M44" s="25"/>
      <c r="N44" s="22"/>
      <c r="O44" s="25"/>
      <c r="P44" s="22"/>
      <c r="Q44" s="25"/>
      <c r="R44" s="22"/>
      <c r="S44" s="25"/>
      <c r="T44" s="22"/>
      <c r="U44" s="25"/>
      <c r="V44" s="22"/>
      <c r="W44" s="25"/>
      <c r="X44" s="22"/>
      <c r="Y44" s="25"/>
      <c r="Z44" s="22"/>
      <c r="AA44" s="25"/>
      <c r="AB44" s="58"/>
    </row>
    <row r="45" spans="1:28" x14ac:dyDescent="0.25">
      <c r="D45" s="63" t="s">
        <v>81</v>
      </c>
      <c r="E45" s="64">
        <f>397838.73-E44</f>
        <v>358629.52017999999</v>
      </c>
      <c r="F45">
        <v>8</v>
      </c>
      <c r="G45">
        <f t="shared" si="16"/>
        <v>0.71068133013012147</v>
      </c>
      <c r="H45">
        <v>1</v>
      </c>
      <c r="I45">
        <f t="shared" si="14"/>
        <v>10024.459816080442</v>
      </c>
      <c r="J45">
        <f t="shared" si="15"/>
        <v>7124.1964359280009</v>
      </c>
      <c r="K45">
        <v>3.5</v>
      </c>
      <c r="L45" s="22"/>
      <c r="M45" s="25"/>
      <c r="N45" s="22"/>
      <c r="O45" s="25"/>
      <c r="P45" s="22"/>
      <c r="Q45" s="25"/>
      <c r="R45" s="22"/>
      <c r="S45" s="25"/>
      <c r="T45" s="22"/>
      <c r="U45" s="25"/>
      <c r="V45" s="22"/>
      <c r="W45" s="25"/>
      <c r="X45" s="22"/>
      <c r="Y45" s="25"/>
      <c r="Z45" s="22"/>
      <c r="AA45" s="25"/>
      <c r="AB45" s="58"/>
    </row>
    <row r="46" spans="1:28" ht="15.75" thickBot="1" x14ac:dyDescent="0.3">
      <c r="C46" t="s">
        <v>82</v>
      </c>
      <c r="D46" s="63">
        <v>0.9</v>
      </c>
      <c r="E46" s="63">
        <f t="shared" ref="E46:E54" si="17">D46*E45</f>
        <v>322766.56816199998</v>
      </c>
      <c r="F46">
        <v>9</v>
      </c>
      <c r="G46">
        <f t="shared" si="16"/>
        <v>0.67683936202868722</v>
      </c>
      <c r="H46">
        <v>1</v>
      </c>
      <c r="I46">
        <f t="shared" si="14"/>
        <v>10024.459816080442</v>
      </c>
      <c r="J46">
        <f t="shared" si="15"/>
        <v>6784.9489865980977</v>
      </c>
      <c r="K46">
        <v>3.5</v>
      </c>
      <c r="L46" s="23"/>
      <c r="M46" s="26"/>
      <c r="N46" s="23"/>
      <c r="O46" s="26"/>
      <c r="P46" s="23"/>
      <c r="Q46" s="26"/>
      <c r="R46" s="23"/>
      <c r="S46" s="26"/>
      <c r="T46" s="23"/>
      <c r="U46" s="26"/>
      <c r="V46" s="23"/>
      <c r="W46" s="26"/>
      <c r="X46" s="23"/>
      <c r="Y46" s="26"/>
      <c r="Z46" s="23"/>
      <c r="AA46" s="26"/>
      <c r="AB46" s="59"/>
    </row>
    <row r="47" spans="1:28" x14ac:dyDescent="0.25">
      <c r="C47" t="s">
        <v>83</v>
      </c>
      <c r="D47" s="63">
        <v>0.8</v>
      </c>
      <c r="E47" s="63">
        <f t="shared" si="17"/>
        <v>258213.2545296</v>
      </c>
      <c r="F47">
        <v>10</v>
      </c>
      <c r="G47">
        <f t="shared" si="16"/>
        <v>0.64460891621779726</v>
      </c>
      <c r="H47">
        <v>1</v>
      </c>
      <c r="I47">
        <f t="shared" si="14"/>
        <v>10024.459816080442</v>
      </c>
      <c r="J47">
        <f t="shared" si="15"/>
        <v>6461.8561777124723</v>
      </c>
      <c r="L47">
        <v>7.75</v>
      </c>
      <c r="M47">
        <v>6</v>
      </c>
      <c r="N47">
        <v>7.75</v>
      </c>
      <c r="O47">
        <v>6</v>
      </c>
      <c r="P47">
        <v>7.75</v>
      </c>
      <c r="Q47">
        <v>6</v>
      </c>
      <c r="R47">
        <v>7.75</v>
      </c>
      <c r="S47">
        <v>6</v>
      </c>
      <c r="T47">
        <v>7.75</v>
      </c>
      <c r="U47">
        <v>6</v>
      </c>
      <c r="V47">
        <v>7.75</v>
      </c>
      <c r="W47">
        <v>6</v>
      </c>
      <c r="X47">
        <v>7.75</v>
      </c>
      <c r="Y47">
        <v>6</v>
      </c>
      <c r="Z47">
        <v>7.75</v>
      </c>
      <c r="AA47">
        <v>6</v>
      </c>
    </row>
    <row r="48" spans="1:28" x14ac:dyDescent="0.25">
      <c r="C48" t="s">
        <v>84</v>
      </c>
      <c r="D48" s="63">
        <v>0.7</v>
      </c>
      <c r="E48" s="63">
        <f t="shared" si="17"/>
        <v>180749.27817072</v>
      </c>
      <c r="F48">
        <v>11</v>
      </c>
      <c r="G48">
        <f t="shared" si="16"/>
        <v>0.61391325354075932</v>
      </c>
      <c r="H48">
        <v>1</v>
      </c>
      <c r="I48">
        <f t="shared" si="14"/>
        <v>10024.459816080442</v>
      </c>
      <c r="J48">
        <f t="shared" si="15"/>
        <v>6154.1487406785454</v>
      </c>
      <c r="L48" s="75">
        <f>L47+M47</f>
        <v>13.75</v>
      </c>
      <c r="M48" s="75"/>
      <c r="N48" s="75">
        <f>N47+O47</f>
        <v>13.75</v>
      </c>
      <c r="O48" s="75"/>
      <c r="P48" s="75">
        <f>P47+Q47</f>
        <v>13.75</v>
      </c>
      <c r="Q48" s="75"/>
      <c r="R48" s="75">
        <f>R47+S47</f>
        <v>13.75</v>
      </c>
      <c r="S48" s="75"/>
      <c r="T48" s="75">
        <f>T47+U47</f>
        <v>13.75</v>
      </c>
      <c r="U48" s="75"/>
      <c r="V48" s="75">
        <f>V47+W47</f>
        <v>13.75</v>
      </c>
      <c r="W48" s="75"/>
      <c r="X48" s="75">
        <f>X47+Y47</f>
        <v>13.75</v>
      </c>
      <c r="Y48" s="75"/>
      <c r="Z48" s="75">
        <f>Z47+AA47</f>
        <v>13.75</v>
      </c>
      <c r="AA48" s="75"/>
      <c r="AB48" s="56"/>
    </row>
    <row r="49" spans="3:10" x14ac:dyDescent="0.25">
      <c r="C49" s="62" t="s">
        <v>85</v>
      </c>
      <c r="D49" s="63">
        <v>0.6</v>
      </c>
      <c r="E49" s="63">
        <f t="shared" si="17"/>
        <v>108449.56690243199</v>
      </c>
      <c r="F49">
        <v>12</v>
      </c>
      <c r="G49">
        <f t="shared" si="16"/>
        <v>0.5846792890864374</v>
      </c>
      <c r="H49">
        <v>1</v>
      </c>
      <c r="I49">
        <f t="shared" si="14"/>
        <v>10024.459816080442</v>
      </c>
      <c r="J49">
        <f t="shared" si="15"/>
        <v>5861.0940387414721</v>
      </c>
    </row>
    <row r="50" spans="3:10" x14ac:dyDescent="0.25">
      <c r="C50" t="s">
        <v>86</v>
      </c>
      <c r="D50" s="63">
        <v>0.5</v>
      </c>
      <c r="E50" s="63">
        <f t="shared" si="17"/>
        <v>54224.783451215997</v>
      </c>
      <c r="F50">
        <v>13</v>
      </c>
      <c r="G50">
        <f t="shared" si="16"/>
        <v>0.5568374181775595</v>
      </c>
      <c r="H50">
        <v>1</v>
      </c>
      <c r="I50">
        <f t="shared" si="14"/>
        <v>10024.459816080442</v>
      </c>
      <c r="J50">
        <f t="shared" si="15"/>
        <v>5581.9943226109262</v>
      </c>
    </row>
    <row r="51" spans="3:10" x14ac:dyDescent="0.25">
      <c r="C51" t="s">
        <v>87</v>
      </c>
      <c r="D51" s="63">
        <v>0.4</v>
      </c>
      <c r="E51" s="63">
        <f t="shared" si="17"/>
        <v>21689.9133804864</v>
      </c>
      <c r="F51">
        <v>14</v>
      </c>
      <c r="G51">
        <f t="shared" si="16"/>
        <v>0.53032135064529462</v>
      </c>
      <c r="H51">
        <v>1</v>
      </c>
      <c r="I51">
        <f t="shared" si="14"/>
        <v>10024.459816080442</v>
      </c>
      <c r="J51">
        <f t="shared" si="15"/>
        <v>5316.1850691532618</v>
      </c>
    </row>
    <row r="52" spans="3:10" x14ac:dyDescent="0.25">
      <c r="C52" t="s">
        <v>88</v>
      </c>
      <c r="D52" s="63">
        <v>0.3</v>
      </c>
      <c r="E52" s="63">
        <f t="shared" si="17"/>
        <v>6506.9740141459197</v>
      </c>
      <c r="F52">
        <v>15</v>
      </c>
      <c r="G52">
        <f t="shared" si="16"/>
        <v>0.50506795299551888</v>
      </c>
      <c r="H52">
        <v>1</v>
      </c>
      <c r="I52">
        <f t="shared" si="14"/>
        <v>10024.459816080442</v>
      </c>
      <c r="J52">
        <f t="shared" si="15"/>
        <v>5063.033399193584</v>
      </c>
    </row>
    <row r="53" spans="3:10" x14ac:dyDescent="0.25">
      <c r="C53" t="s">
        <v>89</v>
      </c>
      <c r="D53" s="63">
        <v>0.2</v>
      </c>
      <c r="E53" s="63">
        <f t="shared" si="17"/>
        <v>1301.3948028291841</v>
      </c>
      <c r="F53">
        <v>16</v>
      </c>
      <c r="G53">
        <f t="shared" si="16"/>
        <v>0.48101709809097021</v>
      </c>
      <c r="H53">
        <v>1</v>
      </c>
      <c r="I53">
        <f t="shared" si="14"/>
        <v>10024.459816080442</v>
      </c>
      <c r="J53">
        <f t="shared" si="15"/>
        <v>4821.9365706605549</v>
      </c>
    </row>
    <row r="54" spans="3:10" x14ac:dyDescent="0.25">
      <c r="C54" t="s">
        <v>90</v>
      </c>
      <c r="D54" s="63">
        <v>0.1</v>
      </c>
      <c r="E54" s="63">
        <f t="shared" si="17"/>
        <v>130.13948028291841</v>
      </c>
      <c r="F54">
        <v>17</v>
      </c>
      <c r="G54">
        <f t="shared" si="16"/>
        <v>0.45811152199140021</v>
      </c>
      <c r="H54">
        <v>1</v>
      </c>
      <c r="I54">
        <f t="shared" si="14"/>
        <v>10024.459816080442</v>
      </c>
      <c r="J54">
        <f t="shared" si="15"/>
        <v>4592.320543486243</v>
      </c>
    </row>
    <row r="55" spans="3:10" x14ac:dyDescent="0.25">
      <c r="F55">
        <v>18</v>
      </c>
      <c r="G55">
        <f t="shared" si="16"/>
        <v>0.43629668761085727</v>
      </c>
      <c r="H55">
        <v>1</v>
      </c>
      <c r="I55">
        <f t="shared" si="14"/>
        <v>10024.459816080442</v>
      </c>
      <c r="J55">
        <f t="shared" si="15"/>
        <v>4373.6386128440399</v>
      </c>
    </row>
    <row r="56" spans="3:10" x14ac:dyDescent="0.25">
      <c r="F56">
        <v>19</v>
      </c>
      <c r="G56">
        <f t="shared" si="16"/>
        <v>0.41552065486748313</v>
      </c>
      <c r="H56">
        <v>1</v>
      </c>
      <c r="I56">
        <f t="shared" si="14"/>
        <v>10024.459816080442</v>
      </c>
      <c r="J56">
        <f t="shared" si="15"/>
        <v>4165.370107470515</v>
      </c>
    </row>
    <row r="57" spans="3:10" x14ac:dyDescent="0.25">
      <c r="F57">
        <v>20</v>
      </c>
      <c r="G57">
        <f t="shared" si="16"/>
        <v>0.39573395701665059</v>
      </c>
      <c r="H57">
        <v>1</v>
      </c>
      <c r="I57">
        <f t="shared" si="14"/>
        <v>10024.459816080442</v>
      </c>
      <c r="J57">
        <f t="shared" si="15"/>
        <v>3967.0191499719185</v>
      </c>
    </row>
    <row r="58" spans="3:10" x14ac:dyDescent="0.25">
      <c r="F58">
        <v>21</v>
      </c>
      <c r="G58">
        <f t="shared" si="16"/>
        <v>0.37688948287300061</v>
      </c>
      <c r="H58">
        <v>1</v>
      </c>
      <c r="I58">
        <f t="shared" si="14"/>
        <v>10024.459816080442</v>
      </c>
      <c r="J58">
        <f t="shared" si="15"/>
        <v>3778.1134761637327</v>
      </c>
    </row>
    <row r="59" spans="3:10" x14ac:dyDescent="0.25">
      <c r="F59">
        <v>22</v>
      </c>
      <c r="G59">
        <f t="shared" si="16"/>
        <v>0.35894236464095297</v>
      </c>
      <c r="H59">
        <v>1</v>
      </c>
      <c r="I59">
        <f t="shared" si="14"/>
        <v>10024.459816080442</v>
      </c>
      <c r="J59">
        <f t="shared" si="15"/>
        <v>3598.2033106321264</v>
      </c>
    </row>
    <row r="60" spans="3:10" x14ac:dyDescent="0.25">
      <c r="F60">
        <v>23</v>
      </c>
      <c r="G60">
        <f t="shared" si="16"/>
        <v>0.3418498710866219</v>
      </c>
      <c r="H60">
        <v>1</v>
      </c>
      <c r="I60">
        <f t="shared" si="14"/>
        <v>10024.459816080442</v>
      </c>
      <c r="J60">
        <f t="shared" si="15"/>
        <v>3426.8602958401207</v>
      </c>
    </row>
    <row r="61" spans="3:10" x14ac:dyDescent="0.25">
      <c r="F61">
        <v>24</v>
      </c>
      <c r="G61">
        <f t="shared" si="16"/>
        <v>0.32557130579678267</v>
      </c>
      <c r="H61">
        <v>1</v>
      </c>
      <c r="I61">
        <f t="shared" si="14"/>
        <v>10024.459816080442</v>
      </c>
      <c r="J61">
        <f t="shared" si="15"/>
        <v>3263.6764722286853</v>
      </c>
    </row>
    <row r="62" spans="3:10" x14ac:dyDescent="0.25">
      <c r="F62">
        <v>25</v>
      </c>
      <c r="G62">
        <f t="shared" si="16"/>
        <v>0.31006791028265024</v>
      </c>
      <c r="H62">
        <v>1</v>
      </c>
      <c r="I62">
        <f t="shared" si="14"/>
        <v>10024.459816080442</v>
      </c>
      <c r="J62">
        <f t="shared" si="15"/>
        <v>3108.263306884463</v>
      </c>
    </row>
    <row r="63" spans="3:10" x14ac:dyDescent="0.25">
      <c r="G63">
        <f>SUM(G38:G62)</f>
        <v>14.798641794346995</v>
      </c>
      <c r="H63">
        <v>1</v>
      </c>
      <c r="I63">
        <f t="shared" si="14"/>
        <v>10024.459816080442</v>
      </c>
      <c r="J63">
        <f>SUM(J38:J62)</f>
        <v>148348.39000000001</v>
      </c>
    </row>
    <row r="64" spans="3:10" x14ac:dyDescent="0.25">
      <c r="H64">
        <f>E39/G63</f>
        <v>10024.459816080442</v>
      </c>
    </row>
  </sheetData>
  <mergeCells count="9">
    <mergeCell ref="V48:W48"/>
    <mergeCell ref="X48:Y48"/>
    <mergeCell ref="Z48:AA48"/>
    <mergeCell ref="A23:C23"/>
    <mergeCell ref="L48:M48"/>
    <mergeCell ref="N48:O48"/>
    <mergeCell ref="P48:Q48"/>
    <mergeCell ref="R48:S48"/>
    <mergeCell ref="T48:U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musangbede2020@gmail.com</dc:creator>
  <cp:lastModifiedBy>Bijesh Mishra</cp:lastModifiedBy>
  <dcterms:created xsi:type="dcterms:W3CDTF">2024-04-02T21:08:04Z</dcterms:created>
  <dcterms:modified xsi:type="dcterms:W3CDTF">2024-07-03T21:00:49Z</dcterms:modified>
</cp:coreProperties>
</file>