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Raghul\Downloads\"/>
    </mc:Choice>
  </mc:AlternateContent>
  <bookViews>
    <workbookView xWindow="0" yWindow="0" windowWidth="10050" windowHeight="4635" tabRatio="500"/>
  </bookViews>
  <sheets>
    <sheet name="Progress" sheetId="30" r:id="rId1"/>
  </sheets>
  <externalReferences>
    <externalReference r:id="rId2"/>
  </externalReferences>
  <definedNames>
    <definedName name="_meetsel">#REF!</definedName>
    <definedName name="_rpe">#REF!</definedName>
    <definedName name="_uom">#REF!</definedName>
    <definedName name="_x">#REF!</definedName>
    <definedName name="_y">OFFSET(#REF!,1,0,COUNTA(#REF!)-1,1)</definedName>
    <definedName name="bnmax">#REF!</definedName>
    <definedName name="bw_count">OFFSET(#REF!, 1, 0,#REF!, 1)</definedName>
    <definedName name="cuttingphase">#REF!</definedName>
    <definedName name="dlmax">#REF!</definedName>
    <definedName name="ExpThis" localSheetId="0">OFFSET([1]NUTRITION!$B$29, 1, 0, [1]NUTRITION!$B$27, 1)</definedName>
    <definedName name="leangain">#REF!</definedName>
    <definedName name="meetctdn">#REF!</definedName>
    <definedName name="meetdt">#REF!</definedName>
    <definedName name="mvmts">OFFSET(#REF!,0,0,COUNTA(#REF!),1)</definedName>
    <definedName name="progdt">#REF!</definedName>
    <definedName name="series_1">OFFSET(#REF!,,,1,COUNTIF(#REF!, "&gt;0"))</definedName>
    <definedName name="series_2">OFFSET(#REF!,,,1,COUNTIF(#REF!, "&gt;0"))</definedName>
    <definedName name="series_totavgload">OFFSET(#REF!,,,1,COUNTIF(#REF!, "&gt;0"))</definedName>
    <definedName name="series_totNL">OFFSET(#REF!,,,1,COUNTIF(#REF!, "&gt;0"))</definedName>
    <definedName name="sqmax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Y14" i="30" l="1"/>
  <c r="Y13" i="30"/>
  <c r="Y12" i="30"/>
  <c r="Y10" i="30"/>
  <c r="Y8" i="30"/>
  <c r="Y7" i="30"/>
  <c r="Y43" i="30"/>
  <c r="Y44" i="30"/>
  <c r="Y45" i="30"/>
  <c r="Y46" i="30"/>
  <c r="AV22" i="30"/>
  <c r="AU22" i="30"/>
  <c r="AT22" i="30"/>
  <c r="AR22" i="30"/>
  <c r="AP22" i="30"/>
  <c r="AN22" i="30"/>
  <c r="AL22" i="30"/>
  <c r="AK22" i="30"/>
  <c r="AJ22" i="30"/>
  <c r="AB22" i="30"/>
  <c r="Z22" i="30" s="1"/>
  <c r="V13" i="30"/>
  <c r="S13" i="30"/>
  <c r="O13" i="30"/>
  <c r="K13" i="30"/>
  <c r="O37" i="30"/>
  <c r="AV39" i="30"/>
  <c r="AU39" i="30"/>
  <c r="AT39" i="30"/>
  <c r="AR39" i="30"/>
  <c r="AP39" i="30"/>
  <c r="AN39" i="30"/>
  <c r="AL39" i="30"/>
  <c r="AK39" i="30"/>
  <c r="AJ39" i="30"/>
  <c r="AB39" i="30"/>
  <c r="Z39" i="30" s="1"/>
  <c r="V32" i="30"/>
  <c r="S32" i="30"/>
  <c r="AQ39" i="30" s="1"/>
  <c r="O32" i="30"/>
  <c r="AO39" i="30" s="1"/>
  <c r="K32" i="30"/>
  <c r="AM39" i="30" s="1"/>
  <c r="K31" i="30"/>
  <c r="K28" i="30"/>
  <c r="K19" i="30"/>
  <c r="K7" i="30"/>
  <c r="K22" i="30"/>
  <c r="K40" i="30"/>
  <c r="K41" i="30"/>
  <c r="K42" i="30"/>
  <c r="K43" i="30"/>
  <c r="K44" i="30"/>
  <c r="K45" i="30"/>
  <c r="K46" i="30"/>
  <c r="O31" i="30"/>
  <c r="O28" i="30"/>
  <c r="O19" i="30"/>
  <c r="O7" i="30"/>
  <c r="O22" i="30"/>
  <c r="O40" i="30"/>
  <c r="O41" i="30"/>
  <c r="O42" i="30"/>
  <c r="O43" i="30"/>
  <c r="O44" i="30"/>
  <c r="O45" i="30"/>
  <c r="S31" i="30"/>
  <c r="S28" i="30"/>
  <c r="S19" i="30"/>
  <c r="S7" i="30"/>
  <c r="S22" i="30"/>
  <c r="S40" i="30"/>
  <c r="S41" i="30"/>
  <c r="S42" i="30"/>
  <c r="S43" i="30"/>
  <c r="S44" i="30"/>
  <c r="S45" i="30"/>
  <c r="V19" i="30"/>
  <c r="V7" i="30"/>
  <c r="V22" i="30"/>
  <c r="T40" i="30"/>
  <c r="V40" i="30"/>
  <c r="T41" i="30"/>
  <c r="V41" i="30"/>
  <c r="T42" i="30"/>
  <c r="V42" i="30"/>
  <c r="T43" i="30"/>
  <c r="V43" i="30"/>
  <c r="T44" i="30"/>
  <c r="V44" i="30"/>
  <c r="T45" i="30"/>
  <c r="V45" i="30"/>
  <c r="T46" i="30"/>
  <c r="O46" i="30"/>
  <c r="S46" i="30"/>
  <c r="V46" i="30"/>
  <c r="T13" i="30" l="1"/>
  <c r="T7" i="30"/>
  <c r="AA39" i="30"/>
  <c r="T32" i="30"/>
  <c r="AS39" i="30" s="1"/>
  <c r="T19" i="30"/>
  <c r="T22" i="30"/>
  <c r="K15" i="30"/>
  <c r="O15" i="30"/>
  <c r="S15" i="30"/>
  <c r="K8" i="30"/>
  <c r="O8" i="30"/>
  <c r="S8" i="30"/>
  <c r="K21" i="30"/>
  <c r="O21" i="30"/>
  <c r="S21" i="30"/>
  <c r="O12" i="30"/>
  <c r="O14" i="30"/>
  <c r="O17" i="30"/>
  <c r="O30" i="30"/>
  <c r="O29" i="30"/>
  <c r="O11" i="30"/>
  <c r="O35" i="30"/>
  <c r="O38" i="30"/>
  <c r="O23" i="30"/>
  <c r="O36" i="30"/>
  <c r="O25" i="30"/>
  <c r="O9" i="30"/>
  <c r="O27" i="30"/>
  <c r="O20" i="30"/>
  <c r="O33" i="30"/>
  <c r="O18" i="30"/>
  <c r="O26" i="30"/>
  <c r="O34" i="30"/>
  <c r="O10" i="30"/>
  <c r="O16" i="30"/>
  <c r="S12" i="30"/>
  <c r="S14" i="30"/>
  <c r="S17" i="30"/>
  <c r="S30" i="30"/>
  <c r="S29" i="30"/>
  <c r="S11" i="30"/>
  <c r="S35" i="30"/>
  <c r="S38" i="30"/>
  <c r="S23" i="30"/>
  <c r="S36" i="30"/>
  <c r="S25" i="30"/>
  <c r="S9" i="30"/>
  <c r="S27" i="30"/>
  <c r="S20" i="30"/>
  <c r="S33" i="30"/>
  <c r="S18" i="30"/>
  <c r="S26" i="30"/>
  <c r="S37" i="30"/>
  <c r="S34" i="30"/>
  <c r="S10" i="30"/>
  <c r="S16" i="30"/>
  <c r="K12" i="30"/>
  <c r="K14" i="30"/>
  <c r="K17" i="30"/>
  <c r="K30" i="30"/>
  <c r="K29" i="30"/>
  <c r="K11" i="30"/>
  <c r="K35" i="30"/>
  <c r="K38" i="30"/>
  <c r="K23" i="30"/>
  <c r="K36" i="30"/>
  <c r="K25" i="30"/>
  <c r="K9" i="30"/>
  <c r="K27" i="30"/>
  <c r="K20" i="30"/>
  <c r="K33" i="30"/>
  <c r="K18" i="30"/>
  <c r="K26" i="30"/>
  <c r="K37" i="30"/>
  <c r="K34" i="30"/>
  <c r="K10" i="30"/>
  <c r="K16" i="30"/>
  <c r="K24" i="30"/>
  <c r="O24" i="30"/>
  <c r="S24" i="30"/>
  <c r="AU4" i="30"/>
  <c r="AS4" i="30"/>
  <c r="AQ4" i="30"/>
  <c r="AO4" i="30"/>
  <c r="AP7" i="30" s="1"/>
  <c r="AM4" i="30"/>
  <c r="AK4" i="30"/>
  <c r="AD6" i="30"/>
  <c r="AD7" i="30" s="1"/>
  <c r="AD14" i="30"/>
  <c r="AB7" i="30"/>
  <c r="V15" i="30"/>
  <c r="V8" i="30"/>
  <c r="V21" i="30"/>
  <c r="V12" i="30"/>
  <c r="V14" i="30"/>
  <c r="V17" i="30"/>
  <c r="V30" i="30"/>
  <c r="V29" i="30"/>
  <c r="V11" i="30"/>
  <c r="V35" i="30"/>
  <c r="V38" i="30"/>
  <c r="V23" i="30"/>
  <c r="V36" i="30"/>
  <c r="V25" i="30"/>
  <c r="V9" i="30"/>
  <c r="V27" i="30"/>
  <c r="V20" i="30"/>
  <c r="V33" i="30"/>
  <c r="V18" i="30"/>
  <c r="V26" i="30"/>
  <c r="V37" i="30"/>
  <c r="V34" i="30"/>
  <c r="V10" i="30"/>
  <c r="V16" i="30"/>
  <c r="V31" i="30"/>
  <c r="V28" i="30"/>
  <c r="AB8" i="30"/>
  <c r="AB9" i="30"/>
  <c r="AB10" i="30"/>
  <c r="AB11" i="30"/>
  <c r="AB12" i="30"/>
  <c r="AB13" i="30"/>
  <c r="AB14" i="30"/>
  <c r="AB15" i="30"/>
  <c r="AB16" i="30"/>
  <c r="AB17" i="30"/>
  <c r="AB18" i="30"/>
  <c r="AB19" i="30"/>
  <c r="AB20" i="30"/>
  <c r="AB21" i="30"/>
  <c r="AB23" i="30"/>
  <c r="T31" i="30"/>
  <c r="T28" i="30"/>
  <c r="AL7" i="30"/>
  <c r="AL8" i="30"/>
  <c r="AL9" i="30"/>
  <c r="AL10" i="30"/>
  <c r="AL11" i="30"/>
  <c r="AL12" i="30"/>
  <c r="AL13" i="30"/>
  <c r="AL14" i="30"/>
  <c r="AL15" i="30"/>
  <c r="AL16" i="30"/>
  <c r="AL17" i="30"/>
  <c r="AL18" i="30"/>
  <c r="AL19" i="30"/>
  <c r="AL20" i="30"/>
  <c r="AL21" i="30"/>
  <c r="AL23" i="30"/>
  <c r="AL24" i="30"/>
  <c r="AL25" i="30"/>
  <c r="AL26" i="30"/>
  <c r="AL27" i="30"/>
  <c r="AL28" i="30"/>
  <c r="AL29" i="30"/>
  <c r="AL30" i="30"/>
  <c r="AL31" i="30"/>
  <c r="AL32" i="30"/>
  <c r="AL33" i="30"/>
  <c r="AL34" i="30"/>
  <c r="AL35" i="30"/>
  <c r="AN7" i="30"/>
  <c r="AN8" i="30"/>
  <c r="AN9" i="30"/>
  <c r="AN10" i="30"/>
  <c r="AN11" i="30"/>
  <c r="AN12" i="30"/>
  <c r="AN13" i="30"/>
  <c r="AN14" i="30"/>
  <c r="AN15" i="30"/>
  <c r="AN16" i="30"/>
  <c r="AN17" i="30"/>
  <c r="AN18" i="30"/>
  <c r="AN19" i="30"/>
  <c r="AN20" i="30"/>
  <c r="AN21" i="30"/>
  <c r="AN23" i="30"/>
  <c r="AN24" i="30"/>
  <c r="AN25" i="30"/>
  <c r="AN26" i="30"/>
  <c r="AN27" i="30"/>
  <c r="AN28" i="30"/>
  <c r="AN29" i="30"/>
  <c r="AN30" i="30"/>
  <c r="AN31" i="30"/>
  <c r="AN32" i="30"/>
  <c r="AN33" i="30"/>
  <c r="AN34" i="30"/>
  <c r="AN35" i="30"/>
  <c r="AP10" i="30"/>
  <c r="AP14" i="30"/>
  <c r="AP26" i="30"/>
  <c r="AP30" i="30"/>
  <c r="AR8" i="30"/>
  <c r="AR9" i="30"/>
  <c r="AR12" i="30"/>
  <c r="AR13" i="30"/>
  <c r="AR16" i="30"/>
  <c r="AR17" i="30"/>
  <c r="AR20" i="30"/>
  <c r="AR21" i="30"/>
  <c r="AR24" i="30"/>
  <c r="AR25" i="30"/>
  <c r="AR28" i="30"/>
  <c r="AR29" i="30"/>
  <c r="AR32" i="30"/>
  <c r="AR33" i="30"/>
  <c r="AV7" i="30"/>
  <c r="AV8" i="30"/>
  <c r="AV9" i="30"/>
  <c r="AV10" i="30"/>
  <c r="AV11" i="30"/>
  <c r="AV12" i="30"/>
  <c r="AV13" i="30"/>
  <c r="AV14" i="30"/>
  <c r="AV15" i="30"/>
  <c r="AV16" i="30"/>
  <c r="AV17" i="30"/>
  <c r="AV18" i="30"/>
  <c r="AV19" i="30"/>
  <c r="AV20" i="30"/>
  <c r="AV21" i="30"/>
  <c r="AV23" i="30"/>
  <c r="AV24" i="30"/>
  <c r="AV25" i="30"/>
  <c r="AV26" i="30"/>
  <c r="AV27" i="30"/>
  <c r="AV28" i="30"/>
  <c r="AV29" i="30"/>
  <c r="AV30" i="30"/>
  <c r="AV31" i="30"/>
  <c r="AV32" i="30"/>
  <c r="AV33" i="30"/>
  <c r="AV34" i="30"/>
  <c r="AV35" i="30"/>
  <c r="AT7" i="30"/>
  <c r="AT8" i="30"/>
  <c r="AT9" i="30"/>
  <c r="AT10" i="30"/>
  <c r="AT11" i="30"/>
  <c r="AT12" i="30"/>
  <c r="AT13" i="30"/>
  <c r="AT14" i="30"/>
  <c r="AT15" i="30"/>
  <c r="AT16" i="30"/>
  <c r="AT17" i="30"/>
  <c r="AT18" i="30"/>
  <c r="AT19" i="30"/>
  <c r="AT20" i="30"/>
  <c r="AT21" i="30"/>
  <c r="AT23" i="30"/>
  <c r="AT24" i="30"/>
  <c r="AT25" i="30"/>
  <c r="AT26" i="30"/>
  <c r="AT27" i="30"/>
  <c r="AT28" i="30"/>
  <c r="AT29" i="30"/>
  <c r="AT30" i="30"/>
  <c r="AT31" i="30"/>
  <c r="AT32" i="30"/>
  <c r="AT33" i="30"/>
  <c r="AT34" i="30"/>
  <c r="AT35" i="30"/>
  <c r="AU7" i="30"/>
  <c r="AU8" i="30"/>
  <c r="AU9" i="30"/>
  <c r="AU10" i="30"/>
  <c r="AU11" i="30"/>
  <c r="AU12" i="30"/>
  <c r="AU13" i="30"/>
  <c r="AU14" i="30"/>
  <c r="AU15" i="30"/>
  <c r="AU16" i="30"/>
  <c r="AU17" i="30"/>
  <c r="AU18" i="30"/>
  <c r="AU19" i="30"/>
  <c r="AU20" i="30"/>
  <c r="AU21" i="30"/>
  <c r="AU23" i="30"/>
  <c r="AU24" i="30"/>
  <c r="AU25" i="30"/>
  <c r="AU26" i="30"/>
  <c r="AU27" i="30"/>
  <c r="AU28" i="30"/>
  <c r="AU29" i="30"/>
  <c r="AU30" i="30"/>
  <c r="AU31" i="30"/>
  <c r="AU32" i="30"/>
  <c r="AU33" i="30"/>
  <c r="AU34" i="30"/>
  <c r="AU35" i="30"/>
  <c r="AK7" i="30"/>
  <c r="AK8" i="30"/>
  <c r="AK9" i="30"/>
  <c r="AK10" i="30"/>
  <c r="AK11" i="30"/>
  <c r="AK12" i="30"/>
  <c r="AK13" i="30"/>
  <c r="AK14" i="30"/>
  <c r="AK15" i="30"/>
  <c r="AK16" i="30"/>
  <c r="AK17" i="30"/>
  <c r="AK18" i="30"/>
  <c r="AK19" i="30"/>
  <c r="AK20" i="30"/>
  <c r="AK21" i="30"/>
  <c r="AK23" i="30"/>
  <c r="AK24" i="30"/>
  <c r="AK25" i="30"/>
  <c r="AK26" i="30"/>
  <c r="AK27" i="30"/>
  <c r="AK28" i="30"/>
  <c r="AK29" i="30"/>
  <c r="AK30" i="30"/>
  <c r="AK31" i="30"/>
  <c r="AK32" i="30"/>
  <c r="AK33" i="30"/>
  <c r="AK34" i="30"/>
  <c r="AK35" i="30"/>
  <c r="V24" i="30"/>
  <c r="AC5" i="30"/>
  <c r="AJ7" i="30"/>
  <c r="AJ8" i="30"/>
  <c r="AJ9" i="30"/>
  <c r="AJ10" i="30"/>
  <c r="AJ11" i="30"/>
  <c r="AJ12" i="30"/>
  <c r="AJ13" i="30"/>
  <c r="AJ14" i="30"/>
  <c r="AJ15" i="30"/>
  <c r="AJ16" i="30"/>
  <c r="AJ17" i="30"/>
  <c r="AJ18" i="30"/>
  <c r="AJ19" i="30"/>
  <c r="AJ20" i="30"/>
  <c r="AJ21" i="30"/>
  <c r="AJ23" i="30"/>
  <c r="AJ24" i="30"/>
  <c r="AJ25" i="30"/>
  <c r="AJ26" i="30"/>
  <c r="AJ27" i="30"/>
  <c r="AJ28" i="30"/>
  <c r="AJ29" i="30"/>
  <c r="AJ30" i="30"/>
  <c r="AJ31" i="30"/>
  <c r="AJ32" i="30"/>
  <c r="AJ33" i="30"/>
  <c r="AJ34" i="30"/>
  <c r="AJ35" i="30"/>
  <c r="AB35" i="30"/>
  <c r="Z35" i="30" s="1"/>
  <c r="AB34" i="30"/>
  <c r="Z34" i="30" s="1"/>
  <c r="AB33" i="30"/>
  <c r="Z33" i="30" s="1"/>
  <c r="AB32" i="30"/>
  <c r="Z32" i="30" s="1"/>
  <c r="AB31" i="30"/>
  <c r="Z31" i="30" s="1"/>
  <c r="AB30" i="30"/>
  <c r="Z30" i="30" s="1"/>
  <c r="AB29" i="30"/>
  <c r="AB28" i="30"/>
  <c r="AB27" i="30"/>
  <c r="AB26" i="30"/>
  <c r="AB25" i="30"/>
  <c r="AB24" i="30"/>
  <c r="AQ22" i="30" l="1"/>
  <c r="AO22" i="30"/>
  <c r="AA33" i="30"/>
  <c r="AM24" i="30"/>
  <c r="AM33" i="30"/>
  <c r="AM31" i="30"/>
  <c r="AQ35" i="30"/>
  <c r="AA22" i="30"/>
  <c r="AM35" i="30"/>
  <c r="AM22" i="30"/>
  <c r="AM34" i="30"/>
  <c r="T16" i="30"/>
  <c r="AQ34" i="30"/>
  <c r="AA15" i="30"/>
  <c r="T12" i="30"/>
  <c r="T25" i="30"/>
  <c r="T35" i="30"/>
  <c r="T17" i="30"/>
  <c r="AA18" i="30"/>
  <c r="AA34" i="30"/>
  <c r="AA35" i="30"/>
  <c r="AA25" i="30"/>
  <c r="AA32" i="30"/>
  <c r="AA12" i="30"/>
  <c r="AA26" i="30"/>
  <c r="AA31" i="30"/>
  <c r="T10" i="30"/>
  <c r="T15" i="30"/>
  <c r="AA30" i="30"/>
  <c r="AA29" i="30"/>
  <c r="AA28" i="30"/>
  <c r="AA27" i="30"/>
  <c r="T21" i="30"/>
  <c r="AS32" i="30" s="1"/>
  <c r="AA23" i="30"/>
  <c r="AQ33" i="30"/>
  <c r="AQ11" i="30"/>
  <c r="AR35" i="30"/>
  <c r="AR31" i="30"/>
  <c r="AR27" i="30"/>
  <c r="AR23" i="30"/>
  <c r="AR19" i="30"/>
  <c r="AR15" i="30"/>
  <c r="AR11" i="30"/>
  <c r="AR7" i="30"/>
  <c r="AM18" i="30"/>
  <c r="AQ32" i="30"/>
  <c r="AQ9" i="30"/>
  <c r="AQ19" i="30"/>
  <c r="AQ29" i="30"/>
  <c r="AQ13" i="30"/>
  <c r="AQ21" i="30"/>
  <c r="AR34" i="30"/>
  <c r="AR30" i="30"/>
  <c r="AR26" i="30"/>
  <c r="AR18" i="30"/>
  <c r="AR14" i="30"/>
  <c r="AR10" i="30"/>
  <c r="AP34" i="30"/>
  <c r="AP18" i="30"/>
  <c r="AM32" i="30"/>
  <c r="AD10" i="30"/>
  <c r="AQ7" i="30"/>
  <c r="AO33" i="30"/>
  <c r="AO18" i="30"/>
  <c r="AM27" i="30"/>
  <c r="AM30" i="30"/>
  <c r="T36" i="30"/>
  <c r="T20" i="30"/>
  <c r="AA21" i="30"/>
  <c r="AA20" i="30"/>
  <c r="T27" i="30"/>
  <c r="T11" i="30"/>
  <c r="AA17" i="30"/>
  <c r="AA16" i="30"/>
  <c r="T18" i="30"/>
  <c r="AA14" i="30"/>
  <c r="T29" i="30"/>
  <c r="T34" i="30"/>
  <c r="T37" i="30"/>
  <c r="AQ12" i="30"/>
  <c r="AA9" i="30"/>
  <c r="AO24" i="30"/>
  <c r="AO12" i="30"/>
  <c r="AP33" i="30"/>
  <c r="AP29" i="30"/>
  <c r="AP25" i="30"/>
  <c r="AP21" i="30"/>
  <c r="AP17" i="30"/>
  <c r="AP13" i="30"/>
  <c r="AP9" i="30"/>
  <c r="AO7" i="30"/>
  <c r="AA8" i="30"/>
  <c r="AM25" i="30"/>
  <c r="AQ31" i="30"/>
  <c r="AQ16" i="30"/>
  <c r="AQ23" i="30"/>
  <c r="AQ8" i="30"/>
  <c r="AQ17" i="30"/>
  <c r="AQ25" i="30"/>
  <c r="AO31" i="30"/>
  <c r="AO16" i="30"/>
  <c r="AO23" i="30"/>
  <c r="AO8" i="30"/>
  <c r="AO17" i="30"/>
  <c r="AO25" i="30"/>
  <c r="AQ27" i="30"/>
  <c r="AQ30" i="30"/>
  <c r="AO9" i="30"/>
  <c r="AO29" i="30"/>
  <c r="AO13" i="30"/>
  <c r="AO21" i="30"/>
  <c r="AO11" i="30"/>
  <c r="AP32" i="30"/>
  <c r="AP28" i="30"/>
  <c r="AP24" i="30"/>
  <c r="AP20" i="30"/>
  <c r="AP16" i="30"/>
  <c r="AP12" i="30"/>
  <c r="AP8" i="30"/>
  <c r="AQ10" i="30"/>
  <c r="AQ15" i="30"/>
  <c r="AQ28" i="30"/>
  <c r="AQ14" i="30"/>
  <c r="AQ26" i="30"/>
  <c r="AO35" i="30"/>
  <c r="AO15" i="30"/>
  <c r="AO26" i="30"/>
  <c r="AO30" i="30"/>
  <c r="AO32" i="30"/>
  <c r="AO19" i="30"/>
  <c r="AO34" i="30"/>
  <c r="AO20" i="30"/>
  <c r="AP35" i="30"/>
  <c r="AP31" i="30"/>
  <c r="AP27" i="30"/>
  <c r="AP23" i="30"/>
  <c r="AP19" i="30"/>
  <c r="AP15" i="30"/>
  <c r="AP11" i="30"/>
  <c r="AM11" i="30"/>
  <c r="AM12" i="30"/>
  <c r="AM20" i="30"/>
  <c r="AA11" i="30"/>
  <c r="AQ20" i="30"/>
  <c r="AA10" i="30"/>
  <c r="AO14" i="30"/>
  <c r="T24" i="30"/>
  <c r="AS24" i="30" s="1"/>
  <c r="AO10" i="30"/>
  <c r="AA7" i="30"/>
  <c r="AM21" i="30"/>
  <c r="AM29" i="30"/>
  <c r="AM9" i="30"/>
  <c r="AM8" i="30"/>
  <c r="AU5" i="30"/>
  <c r="AM13" i="30"/>
  <c r="AQ24" i="30"/>
  <c r="AM17" i="30"/>
  <c r="AM16" i="30"/>
  <c r="AM28" i="30"/>
  <c r="AK5" i="30"/>
  <c r="AM15" i="30"/>
  <c r="T26" i="30"/>
  <c r="T23" i="30"/>
  <c r="T14" i="30"/>
  <c r="AM23" i="30"/>
  <c r="AM19" i="30"/>
  <c r="AM7" i="30"/>
  <c r="AO28" i="30"/>
  <c r="AQ18" i="30"/>
  <c r="AA24" i="30"/>
  <c r="T9" i="30"/>
  <c r="T38" i="30"/>
  <c r="T30" i="30"/>
  <c r="AM26" i="30"/>
  <c r="AM14" i="30"/>
  <c r="AM10" i="30"/>
  <c r="AO27" i="30"/>
  <c r="T33" i="30"/>
  <c r="AA19" i="30"/>
  <c r="AA13" i="30"/>
  <c r="T8" i="30"/>
  <c r="Z25" i="30"/>
  <c r="AD9" i="30"/>
  <c r="AD12" i="30"/>
  <c r="AD8" i="30"/>
  <c r="Z12" i="30" s="1"/>
  <c r="AD11" i="30"/>
  <c r="AS26" i="30" l="1"/>
  <c r="AS33" i="30"/>
  <c r="AS21" i="30"/>
  <c r="AS18" i="30"/>
  <c r="AS30" i="30"/>
  <c r="AS22" i="30"/>
  <c r="AS10" i="30"/>
  <c r="AS31" i="30"/>
  <c r="AS28" i="30"/>
  <c r="AS15" i="30"/>
  <c r="AS19" i="30"/>
  <c r="AS13" i="30"/>
  <c r="AS29" i="30"/>
  <c r="AS17" i="30"/>
  <c r="AS9" i="30"/>
  <c r="AS12" i="30"/>
  <c r="AS8" i="30"/>
  <c r="AS23" i="30"/>
  <c r="AS27" i="30"/>
  <c r="AS14" i="30"/>
  <c r="AS11" i="30"/>
  <c r="AS16" i="30"/>
  <c r="AS35" i="30"/>
  <c r="AS7" i="30"/>
  <c r="AS20" i="30"/>
  <c r="AS34" i="30"/>
  <c r="AS25" i="30"/>
  <c r="AQ5" i="30"/>
  <c r="AO5" i="30"/>
  <c r="AM5" i="30"/>
  <c r="Z21" i="30"/>
  <c r="Z24" i="30"/>
  <c r="Z19" i="30"/>
  <c r="Z7" i="30"/>
  <c r="Z18" i="30"/>
  <c r="Z20" i="30"/>
  <c r="Z16" i="30"/>
  <c r="Z17" i="30"/>
  <c r="Z26" i="30"/>
  <c r="Z15" i="30"/>
  <c r="Z27" i="30"/>
  <c r="Z13" i="30"/>
  <c r="Z14" i="30"/>
  <c r="Z28" i="30"/>
  <c r="Z11" i="30"/>
  <c r="Z29" i="30"/>
  <c r="Z9" i="30"/>
  <c r="Z10" i="30"/>
  <c r="Z23" i="30"/>
  <c r="Z8" i="30"/>
  <c r="AS5" i="30" l="1"/>
</calcChain>
</file>

<file path=xl/sharedStrings.xml><?xml version="1.0" encoding="utf-8"?>
<sst xmlns="http://schemas.openxmlformats.org/spreadsheetml/2006/main" count="189" uniqueCount="115">
  <si>
    <t>BN</t>
  </si>
  <si>
    <t>SQ</t>
  </si>
  <si>
    <t>DL</t>
  </si>
  <si>
    <t>DATE</t>
  </si>
  <si>
    <t>WILKS</t>
  </si>
  <si>
    <t>BW</t>
  </si>
  <si>
    <t>Wilks</t>
  </si>
  <si>
    <t>wilks coefficients per definition</t>
  </si>
  <si>
    <t>SQ1</t>
  </si>
  <si>
    <t>SQ2</t>
  </si>
  <si>
    <t>SQ3</t>
  </si>
  <si>
    <t>MAXSQ</t>
  </si>
  <si>
    <t>BP1</t>
  </si>
  <si>
    <t>BP2</t>
  </si>
  <si>
    <t>BP3</t>
  </si>
  <si>
    <t>MAXBN</t>
  </si>
  <si>
    <t>DL1</t>
  </si>
  <si>
    <t>DL2</t>
  </si>
  <si>
    <t>DL3</t>
  </si>
  <si>
    <t>MAXDL</t>
  </si>
  <si>
    <t>TOTAL</t>
  </si>
  <si>
    <t>LIFTS COMPLETED</t>
  </si>
  <si>
    <t>total</t>
  </si>
  <si>
    <t>x</t>
  </si>
  <si>
    <t>gender</t>
  </si>
  <si>
    <t>row</t>
  </si>
  <si>
    <t>MALE</t>
  </si>
  <si>
    <t>FEMALE</t>
  </si>
  <si>
    <t>BWMAX</t>
  </si>
  <si>
    <t>SQMAX</t>
  </si>
  <si>
    <t>BNMAX</t>
  </si>
  <si>
    <t>DLMAX</t>
  </si>
  <si>
    <t>TOTMAX</t>
  </si>
  <si>
    <t>WILKSMAX</t>
  </si>
  <si>
    <t>a</t>
  </si>
  <si>
    <t>b</t>
  </si>
  <si>
    <t>c</t>
  </si>
  <si>
    <t>d</t>
  </si>
  <si>
    <t>e</t>
  </si>
  <si>
    <t>f</t>
  </si>
  <si>
    <t>k</t>
  </si>
  <si>
    <t>Name</t>
  </si>
  <si>
    <t>CUPLC NOVICE MEET</t>
  </si>
  <si>
    <t>Dennis Mubaiwa</t>
  </si>
  <si>
    <t>Angus Coyne-Grell</t>
  </si>
  <si>
    <t>Place</t>
  </si>
  <si>
    <t>Amrita Panesar</t>
  </si>
  <si>
    <t>Column1</t>
  </si>
  <si>
    <t>CAM</t>
  </si>
  <si>
    <t>OX</t>
  </si>
  <si>
    <t>Rebecca Ramjiawan</t>
  </si>
  <si>
    <t>Francesca Best</t>
  </si>
  <si>
    <t>Anisha Chopra</t>
  </si>
  <si>
    <t>Niamh Walsh</t>
  </si>
  <si>
    <t>Column2</t>
  </si>
  <si>
    <t>F</t>
  </si>
  <si>
    <t>Lucy Hart</t>
  </si>
  <si>
    <t>Emma Richardson</t>
  </si>
  <si>
    <t>Sophie Smith</t>
  </si>
  <si>
    <t>Sujan Sriharan</t>
  </si>
  <si>
    <t>M</t>
  </si>
  <si>
    <t>Diptharko Chowdhury</t>
  </si>
  <si>
    <t>Remi Rufus-Toye</t>
  </si>
  <si>
    <t>Diego Granziol</t>
  </si>
  <si>
    <t>Raghul Parthipan</t>
  </si>
  <si>
    <t>Nicholas Burden</t>
  </si>
  <si>
    <t>Column3</t>
  </si>
  <si>
    <t>Raihan Mohammed</t>
  </si>
  <si>
    <t>Kevin Tan</t>
  </si>
  <si>
    <t>Jerome Squires</t>
  </si>
  <si>
    <t>Salman Khan</t>
  </si>
  <si>
    <t>Diamor Marke</t>
  </si>
  <si>
    <t>Steven Smithies</t>
  </si>
  <si>
    <t xml:space="preserve">Henry Trunley </t>
  </si>
  <si>
    <t>William Pickering</t>
  </si>
  <si>
    <t>David Jia</t>
  </si>
  <si>
    <t xml:space="preserve">Elliot Vaughn </t>
  </si>
  <si>
    <t xml:space="preserve">Adam Rochussen </t>
  </si>
  <si>
    <t xml:space="preserve">Ka Chun Wan </t>
  </si>
  <si>
    <t xml:space="preserve">M </t>
  </si>
  <si>
    <t xml:space="preserve">Vikram Thakur </t>
  </si>
  <si>
    <t>Aaron Hegedus</t>
  </si>
  <si>
    <t>Hector Van Smirren</t>
  </si>
  <si>
    <t>47.5 x</t>
  </si>
  <si>
    <t>50 x</t>
  </si>
  <si>
    <t>105 x</t>
  </si>
  <si>
    <t>65 x</t>
  </si>
  <si>
    <t>100 x</t>
  </si>
  <si>
    <t>60 x</t>
  </si>
  <si>
    <t>102.5 x</t>
  </si>
  <si>
    <t>55 x</t>
  </si>
  <si>
    <t>112.5 x</t>
  </si>
  <si>
    <t>127.5 x</t>
  </si>
  <si>
    <t>155 x</t>
  </si>
  <si>
    <t>210 x</t>
  </si>
  <si>
    <t>195 x</t>
  </si>
  <si>
    <t>147.5 x</t>
  </si>
  <si>
    <t>130 x</t>
  </si>
  <si>
    <t>240 x</t>
  </si>
  <si>
    <t>125 x</t>
  </si>
  <si>
    <t>135 x</t>
  </si>
  <si>
    <t>140 x</t>
  </si>
  <si>
    <t>145 x</t>
  </si>
  <si>
    <t>157.5 x</t>
  </si>
  <si>
    <t>200 x</t>
  </si>
  <si>
    <t>230 x</t>
  </si>
  <si>
    <t>255 x</t>
  </si>
  <si>
    <t>262.5 x</t>
  </si>
  <si>
    <t>270 x</t>
  </si>
  <si>
    <t>Tal Rosenbaum</t>
  </si>
  <si>
    <t>OXFORD SUM</t>
  </si>
  <si>
    <t>CAMBRIDGE SUM</t>
  </si>
  <si>
    <t>Column4</t>
  </si>
  <si>
    <t>g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</si>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</sst>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2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theme="6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6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i/>
      <sz val="11"/>
      <color theme="5"/>
      <name val="Calibri"/>
      <family val="2"/>
      <scheme val="minor"/>
    </font>
    <font>
      <i/>
      <sz val="11"/>
      <name val="Calibri"/>
      <family val="2"/>
      <scheme val="minor"/>
    </font>
    <font>
      <i/>
      <sz val="11"/>
      <color rgb="FF00B05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rgb="FF00B05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4"/>
      </patternFill>
    </fill>
    <fill>
      <patternFill patternType="solid">
        <fgColor theme="8" tint="0.79998168889431442"/>
        <bgColor indexed="65"/>
      </patternFill>
    </fill>
  </fills>
  <borders count="27">
    <border>
      <left/>
      <right/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 style="medium">
        <color auto="1"/>
      </left>
      <right style="hair">
        <color auto="1"/>
      </right>
      <top/>
      <bottom/>
      <diagonal/>
    </border>
    <border>
      <left style="medium">
        <color auto="1"/>
      </left>
      <right style="hair">
        <color auto="1"/>
      </right>
      <top/>
      <bottom style="medium">
        <color auto="1"/>
      </bottom>
      <diagonal/>
    </border>
    <border>
      <left style="hair">
        <color auto="1"/>
      </left>
      <right style="hair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medium">
        <color indexed="64"/>
      </bottom>
      <diagonal/>
    </border>
  </borders>
  <cellStyleXfs count="63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5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>
      <alignment vertical="center"/>
    </xf>
    <xf numFmtId="9" fontId="5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8" fillId="4" borderId="0" applyNumberFormat="0" applyBorder="0" applyAlignment="0" applyProtection="0"/>
    <xf numFmtId="0" fontId="19" fillId="5" borderId="0" applyNumberFormat="0" applyBorder="0" applyAlignment="0" applyProtection="0"/>
    <xf numFmtId="0" fontId="20" fillId="6" borderId="0" applyNumberFormat="0" applyBorder="0" applyAlignment="0" applyProtection="0"/>
    <xf numFmtId="0" fontId="17" fillId="7" borderId="0" applyNumberFormat="0" applyBorder="0" applyAlignment="0" applyProtection="0"/>
  </cellStyleXfs>
  <cellXfs count="94">
    <xf numFmtId="0" fontId="0" fillId="0" borderId="0" xfId="0"/>
    <xf numFmtId="0" fontId="8" fillId="0" borderId="0" xfId="0" applyFont="1" applyFill="1" applyAlignment="1">
      <alignment vertical="center"/>
    </xf>
    <xf numFmtId="0" fontId="12" fillId="0" borderId="3" xfId="0" applyFont="1" applyBorder="1" applyAlignment="1">
      <alignment horizontal="center" vertical="center"/>
    </xf>
    <xf numFmtId="0" fontId="7" fillId="0" borderId="0" xfId="0" applyFont="1" applyBorder="1"/>
    <xf numFmtId="14" fontId="7" fillId="0" borderId="0" xfId="0" applyNumberFormat="1" applyFont="1" applyBorder="1"/>
    <xf numFmtId="0" fontId="7" fillId="0" borderId="0" xfId="0" applyFont="1" applyBorder="1" applyAlignment="1">
      <alignment horizontal="center"/>
    </xf>
    <xf numFmtId="0" fontId="13" fillId="0" borderId="0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1" fillId="0" borderId="0" xfId="0" applyFont="1" applyFill="1"/>
    <xf numFmtId="14" fontId="8" fillId="0" borderId="0" xfId="0" applyNumberFormat="1" applyFont="1" applyBorder="1" applyAlignment="1">
      <alignment horizontal="left"/>
    </xf>
    <xf numFmtId="0" fontId="7" fillId="0" borderId="0" xfId="0" applyFont="1" applyFill="1" applyProtection="1"/>
    <xf numFmtId="0" fontId="14" fillId="0" borderId="0" xfId="0" applyFont="1"/>
    <xf numFmtId="0" fontId="7" fillId="0" borderId="0" xfId="0" applyFont="1" applyAlignment="1">
      <alignment horizontal="center"/>
    </xf>
    <xf numFmtId="0" fontId="15" fillId="0" borderId="0" xfId="0" applyFont="1" applyBorder="1" applyAlignment="1">
      <alignment horizontal="center"/>
    </xf>
    <xf numFmtId="0" fontId="7" fillId="0" borderId="0" xfId="0" applyFont="1" applyFill="1"/>
    <xf numFmtId="0" fontId="8" fillId="0" borderId="0" xfId="0" applyFont="1" applyBorder="1"/>
    <xf numFmtId="0" fontId="6" fillId="0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7" fillId="0" borderId="8" xfId="0" applyFont="1" applyBorder="1" applyAlignment="1">
      <alignment horizontal="center"/>
    </xf>
    <xf numFmtId="14" fontId="9" fillId="0" borderId="0" xfId="0" applyNumberFormat="1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7" fillId="0" borderId="0" xfId="0" applyFont="1" applyBorder="1" applyAlignment="1">
      <alignment vertical="center"/>
    </xf>
    <xf numFmtId="164" fontId="15" fillId="0" borderId="3" xfId="0" applyNumberFormat="1" applyFont="1" applyBorder="1" applyAlignment="1">
      <alignment horizontal="center" vertical="center"/>
    </xf>
    <xf numFmtId="0" fontId="1" fillId="2" borderId="0" xfId="0" applyFont="1" applyFill="1"/>
    <xf numFmtId="0" fontId="1" fillId="0" borderId="0" xfId="0" applyFont="1"/>
    <xf numFmtId="2" fontId="7" fillId="0" borderId="8" xfId="0" applyNumberFormat="1" applyFont="1" applyBorder="1" applyAlignment="1">
      <alignment horizontal="center"/>
    </xf>
    <xf numFmtId="0" fontId="15" fillId="0" borderId="5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14" fontId="7" fillId="0" borderId="9" xfId="0" applyNumberFormat="1" applyFont="1" applyBorder="1" applyAlignment="1">
      <alignment vertical="center"/>
    </xf>
    <xf numFmtId="0" fontId="7" fillId="0" borderId="5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2" fontId="7" fillId="0" borderId="3" xfId="0" applyNumberFormat="1" applyFont="1" applyBorder="1" applyAlignment="1">
      <alignment horizontal="center" vertical="center"/>
    </xf>
    <xf numFmtId="11" fontId="7" fillId="0" borderId="8" xfId="0" applyNumberFormat="1" applyFont="1" applyBorder="1" applyAlignment="1">
      <alignment horizontal="center"/>
    </xf>
    <xf numFmtId="0" fontId="7" fillId="0" borderId="0" xfId="0" applyFont="1"/>
    <xf numFmtId="2" fontId="1" fillId="0" borderId="8" xfId="0" applyNumberFormat="1" applyFont="1" applyBorder="1"/>
    <xf numFmtId="0" fontId="13" fillId="0" borderId="0" xfId="0" applyFont="1" applyBorder="1" applyAlignment="1">
      <alignment horizontal="center" vertical="center"/>
    </xf>
    <xf numFmtId="0" fontId="1" fillId="0" borderId="0" xfId="0" applyFont="1" applyAlignment="1">
      <alignment wrapText="1"/>
    </xf>
    <xf numFmtId="0" fontId="1" fillId="0" borderId="0" xfId="0" quotePrefix="1" applyFont="1"/>
    <xf numFmtId="0" fontId="15" fillId="0" borderId="0" xfId="0" applyFont="1" applyBorder="1" applyAlignment="1">
      <alignment horizontal="center" vertical="center"/>
    </xf>
    <xf numFmtId="0" fontId="12" fillId="0" borderId="14" xfId="0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0" fontId="12" fillId="0" borderId="16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6" fillId="3" borderId="17" xfId="0" applyFont="1" applyFill="1" applyBorder="1" applyAlignment="1">
      <alignment vertical="center"/>
    </xf>
    <xf numFmtId="0" fontId="6" fillId="3" borderId="18" xfId="0" applyFont="1" applyFill="1" applyBorder="1" applyAlignment="1">
      <alignment vertical="center"/>
    </xf>
    <xf numFmtId="0" fontId="6" fillId="3" borderId="19" xfId="0" applyFont="1" applyFill="1" applyBorder="1" applyAlignment="1">
      <alignment vertical="center"/>
    </xf>
    <xf numFmtId="0" fontId="12" fillId="0" borderId="4" xfId="0" applyFont="1" applyBorder="1" applyAlignment="1">
      <alignment horizontal="center" vertical="center"/>
    </xf>
    <xf numFmtId="0" fontId="12" fillId="0" borderId="21" xfId="0" applyFont="1" applyBorder="1" applyAlignment="1">
      <alignment horizontal="center" vertical="center"/>
    </xf>
    <xf numFmtId="0" fontId="6" fillId="3" borderId="20" xfId="0" applyFont="1" applyFill="1" applyBorder="1" applyAlignment="1">
      <alignment vertical="center"/>
    </xf>
    <xf numFmtId="0" fontId="10" fillId="0" borderId="22" xfId="0" applyFont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0" fontId="6" fillId="3" borderId="24" xfId="0" applyFont="1" applyFill="1" applyBorder="1" applyAlignment="1">
      <alignment vertical="center"/>
    </xf>
    <xf numFmtId="164" fontId="15" fillId="0" borderId="25" xfId="0" applyNumberFormat="1" applyFont="1" applyBorder="1" applyAlignment="1">
      <alignment horizontal="center" vertical="center"/>
    </xf>
    <xf numFmtId="0" fontId="10" fillId="0" borderId="22" xfId="0" applyFont="1" applyFill="1" applyBorder="1" applyAlignment="1">
      <alignment horizontal="center" vertical="center"/>
    </xf>
    <xf numFmtId="0" fontId="16" fillId="0" borderId="2" xfId="0" applyFont="1" applyFill="1" applyBorder="1" applyAlignment="1">
      <alignment horizontal="center" vertical="center"/>
    </xf>
    <xf numFmtId="0" fontId="15" fillId="0" borderId="5" xfId="0" applyFont="1" applyFill="1" applyBorder="1" applyAlignment="1">
      <alignment horizontal="center" vertical="center"/>
    </xf>
    <xf numFmtId="164" fontId="15" fillId="0" borderId="3" xfId="0" applyNumberFormat="1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1" fontId="15" fillId="0" borderId="25" xfId="0" applyNumberFormat="1" applyFont="1" applyFill="1" applyBorder="1" applyAlignment="1">
      <alignment horizontal="center" vertical="center"/>
    </xf>
    <xf numFmtId="14" fontId="7" fillId="0" borderId="12" xfId="0" applyNumberFormat="1" applyFont="1" applyFill="1" applyBorder="1" applyAlignment="1">
      <alignment vertical="center"/>
    </xf>
    <xf numFmtId="0" fontId="7" fillId="0" borderId="13" xfId="0" applyFont="1" applyFill="1" applyBorder="1" applyAlignment="1">
      <alignment horizontal="center" vertical="center"/>
    </xf>
    <xf numFmtId="0" fontId="12" fillId="0" borderId="14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12" fillId="0" borderId="4" xfId="0" applyFont="1" applyFill="1" applyBorder="1" applyAlignment="1">
      <alignment horizontal="center" vertical="center"/>
    </xf>
    <xf numFmtId="14" fontId="11" fillId="0" borderId="12" xfId="0" applyNumberFormat="1" applyFont="1" applyFill="1" applyBorder="1" applyAlignment="1">
      <alignment vertical="center"/>
    </xf>
    <xf numFmtId="164" fontId="15" fillId="0" borderId="25" xfId="0" applyNumberFormat="1" applyFont="1" applyFill="1" applyBorder="1" applyAlignment="1">
      <alignment horizontal="center" vertical="center"/>
    </xf>
    <xf numFmtId="0" fontId="12" fillId="0" borderId="22" xfId="0" applyFont="1" applyFill="1" applyBorder="1" applyAlignment="1">
      <alignment horizontal="center" vertical="center"/>
    </xf>
    <xf numFmtId="0" fontId="21" fillId="0" borderId="2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1" fontId="7" fillId="0" borderId="25" xfId="0" applyNumberFormat="1" applyFont="1" applyFill="1" applyBorder="1" applyAlignment="1">
      <alignment horizontal="center" vertical="center"/>
    </xf>
    <xf numFmtId="14" fontId="11" fillId="0" borderId="0" xfId="0" applyNumberFormat="1" applyFont="1" applyFill="1" applyBorder="1" applyAlignment="1">
      <alignment vertical="center"/>
    </xf>
    <xf numFmtId="14" fontId="7" fillId="0" borderId="0" xfId="0" applyNumberFormat="1" applyFont="1" applyFill="1" applyBorder="1" applyAlignment="1">
      <alignment vertical="center"/>
    </xf>
    <xf numFmtId="0" fontId="18" fillId="4" borderId="14" xfId="629" applyBorder="1" applyAlignment="1">
      <alignment horizontal="center" vertical="center"/>
    </xf>
    <xf numFmtId="0" fontId="18" fillId="4" borderId="3" xfId="629" applyBorder="1" applyAlignment="1">
      <alignment horizontal="center" vertical="center"/>
    </xf>
    <xf numFmtId="0" fontId="18" fillId="4" borderId="4" xfId="629" applyBorder="1" applyAlignment="1">
      <alignment horizontal="center" vertical="center"/>
    </xf>
    <xf numFmtId="0" fontId="19" fillId="5" borderId="14" xfId="630" applyBorder="1" applyAlignment="1">
      <alignment horizontal="center" vertical="center"/>
    </xf>
    <xf numFmtId="0" fontId="19" fillId="5" borderId="4" xfId="630" applyBorder="1" applyAlignment="1">
      <alignment horizontal="center" vertical="center"/>
    </xf>
    <xf numFmtId="164" fontId="20" fillId="6" borderId="3" xfId="631" applyNumberFormat="1" applyBorder="1" applyAlignment="1">
      <alignment horizontal="center" vertical="center"/>
    </xf>
    <xf numFmtId="164" fontId="17" fillId="7" borderId="3" xfId="632" applyNumberForma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6" fillId="3" borderId="26" xfId="0" applyFont="1" applyFill="1" applyBorder="1" applyAlignment="1">
      <alignment vertical="center"/>
    </xf>
    <xf numFmtId="164" fontId="7" fillId="0" borderId="0" xfId="0" applyNumberFormat="1" applyFont="1" applyBorder="1" applyAlignment="1">
      <alignment horizontal="center" vertical="center"/>
    </xf>
    <xf numFmtId="164" fontId="13" fillId="0" borderId="0" xfId="0" applyNumberFormat="1" applyFont="1" applyBorder="1" applyAlignment="1">
      <alignment horizontal="center" vertical="center"/>
    </xf>
    <xf numFmtId="164" fontId="1" fillId="0" borderId="0" xfId="0" applyNumberFormat="1" applyFont="1" applyFill="1" applyAlignment="1">
      <alignment horizontal="center" vertical="center"/>
    </xf>
    <xf numFmtId="14" fontId="6" fillId="0" borderId="0" xfId="0" applyNumberFormat="1" applyFont="1" applyFill="1" applyBorder="1" applyAlignment="1">
      <alignment horizontal="left" vertical="center"/>
    </xf>
    <xf numFmtId="0" fontId="7" fillId="0" borderId="6" xfId="0" applyFont="1" applyBorder="1" applyAlignment="1">
      <alignment horizontal="center" wrapText="1"/>
    </xf>
    <xf numFmtId="0" fontId="7" fillId="0" borderId="7" xfId="0" applyFont="1" applyBorder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7" fillId="0" borderId="7" xfId="0" applyFont="1" applyBorder="1" applyAlignment="1">
      <alignment horizontal="center"/>
    </xf>
  </cellXfs>
  <cellStyles count="633">
    <cellStyle name="20% - Accent5" xfId="632" builtinId="46"/>
    <cellStyle name="Accent1" xfId="631" builtinId="29"/>
    <cellStyle name="Bad" xfId="630" builtinId="27"/>
    <cellStyle name="Followed Hyperlink" xfId="496" builtinId="9" hidden="1"/>
    <cellStyle name="Followed Hyperlink" xfId="505" builtinId="9" hidden="1"/>
    <cellStyle name="Followed Hyperlink" xfId="174" builtinId="9" hidden="1"/>
    <cellStyle name="Followed Hyperlink" xfId="568" builtinId="9" hidden="1"/>
    <cellStyle name="Followed Hyperlink" xfId="540" builtinId="9" hidden="1"/>
    <cellStyle name="Followed Hyperlink" xfId="158" builtinId="9" hidden="1"/>
    <cellStyle name="Followed Hyperlink" xfId="235" builtinId="9" hidden="1"/>
    <cellStyle name="Followed Hyperlink" xfId="495" builtinId="9" hidden="1"/>
    <cellStyle name="Followed Hyperlink" xfId="100" builtinId="9" hidden="1"/>
    <cellStyle name="Followed Hyperlink" xfId="354" builtinId="9" hidden="1"/>
    <cellStyle name="Followed Hyperlink" xfId="486" builtinId="9" hidden="1"/>
    <cellStyle name="Followed Hyperlink" xfId="357" builtinId="9" hidden="1"/>
    <cellStyle name="Followed Hyperlink" xfId="315" builtinId="9" hidden="1"/>
    <cellStyle name="Followed Hyperlink" xfId="376" builtinId="9" hidden="1"/>
    <cellStyle name="Followed Hyperlink" xfId="74" builtinId="9" hidden="1"/>
    <cellStyle name="Followed Hyperlink" xfId="50" builtinId="9" hidden="1"/>
    <cellStyle name="Followed Hyperlink" xfId="138" builtinId="9" hidden="1"/>
    <cellStyle name="Followed Hyperlink" xfId="390" builtinId="9" hidden="1"/>
    <cellStyle name="Followed Hyperlink" xfId="166" builtinId="9" hidden="1"/>
    <cellStyle name="Followed Hyperlink" xfId="409" builtinId="9" hidden="1"/>
    <cellStyle name="Followed Hyperlink" xfId="353" builtinId="9" hidden="1"/>
    <cellStyle name="Followed Hyperlink" xfId="440" builtinId="9" hidden="1"/>
    <cellStyle name="Followed Hyperlink" xfId="467" builtinId="9" hidden="1"/>
    <cellStyle name="Followed Hyperlink" xfId="466" builtinId="9" hidden="1"/>
    <cellStyle name="Followed Hyperlink" xfId="148" builtinId="9" hidden="1"/>
    <cellStyle name="Followed Hyperlink" xfId="554" builtinId="9" hidden="1"/>
    <cellStyle name="Followed Hyperlink" xfId="323" builtinId="9" hidden="1"/>
    <cellStyle name="Followed Hyperlink" xfId="506" builtinId="9" hidden="1"/>
    <cellStyle name="Followed Hyperlink" xfId="371" builtinId="9" hidden="1"/>
    <cellStyle name="Followed Hyperlink" xfId="510" builtinId="9" hidden="1"/>
    <cellStyle name="Followed Hyperlink" xfId="46" builtinId="9" hidden="1"/>
    <cellStyle name="Followed Hyperlink" xfId="524" builtinId="9" hidden="1"/>
    <cellStyle name="Followed Hyperlink" xfId="243" builtinId="9" hidden="1"/>
    <cellStyle name="Followed Hyperlink" xfId="528" builtinId="9" hidden="1"/>
    <cellStyle name="Followed Hyperlink" xfId="205" builtinId="9" hidden="1"/>
    <cellStyle name="Followed Hyperlink" xfId="4" builtinId="9" hidden="1"/>
    <cellStyle name="Followed Hyperlink" xfId="560" builtinId="9" hidden="1"/>
    <cellStyle name="Followed Hyperlink" xfId="395" builtinId="9" hidden="1"/>
    <cellStyle name="Followed Hyperlink" xfId="468" builtinId="9" hidden="1"/>
    <cellStyle name="Followed Hyperlink" xfId="128" builtinId="9" hidden="1"/>
    <cellStyle name="Followed Hyperlink" xfId="489" builtinId="9" hidden="1"/>
    <cellStyle name="Followed Hyperlink" xfId="277" builtinId="9" hidden="1"/>
    <cellStyle name="Followed Hyperlink" xfId="104" builtinId="9" hidden="1"/>
    <cellStyle name="Followed Hyperlink" xfId="412" builtinId="9" hidden="1"/>
    <cellStyle name="Followed Hyperlink" xfId="618" builtinId="9" hidden="1"/>
    <cellStyle name="Followed Hyperlink" xfId="307" builtinId="9" hidden="1"/>
    <cellStyle name="Followed Hyperlink" xfId="456" builtinId="9" hidden="1"/>
    <cellStyle name="Followed Hyperlink" xfId="30" builtinId="9" hidden="1"/>
    <cellStyle name="Followed Hyperlink" xfId="471" builtinId="9" hidden="1"/>
    <cellStyle name="Followed Hyperlink" xfId="265" builtinId="9" hidden="1"/>
    <cellStyle name="Followed Hyperlink" xfId="399" builtinId="9" hidden="1"/>
    <cellStyle name="Followed Hyperlink" xfId="446" builtinId="9" hidden="1"/>
    <cellStyle name="Followed Hyperlink" xfId="503" builtinId="9" hidden="1"/>
    <cellStyle name="Followed Hyperlink" xfId="548" builtinId="9" hidden="1"/>
    <cellStyle name="Followed Hyperlink" xfId="345" builtinId="9" hidden="1"/>
    <cellStyle name="Followed Hyperlink" xfId="32" builtinId="9" hidden="1"/>
    <cellStyle name="Followed Hyperlink" xfId="398" builtinId="9" hidden="1"/>
    <cellStyle name="Followed Hyperlink" xfId="146" builtinId="9" hidden="1"/>
    <cellStyle name="Followed Hyperlink" xfId="299" builtinId="9" hidden="1"/>
    <cellStyle name="Followed Hyperlink" xfId="22" builtinId="9" hidden="1"/>
    <cellStyle name="Followed Hyperlink" xfId="309" builtinId="9" hidden="1"/>
    <cellStyle name="Followed Hyperlink" xfId="492" builtinId="9" hidden="1"/>
    <cellStyle name="Followed Hyperlink" xfId="331" builtinId="9" hidden="1"/>
    <cellStyle name="Followed Hyperlink" xfId="469" builtinId="9" hidden="1"/>
    <cellStyle name="Followed Hyperlink" xfId="38" builtinId="9" hidden="1"/>
    <cellStyle name="Followed Hyperlink" xfId="428" builtinId="9" hidden="1"/>
    <cellStyle name="Followed Hyperlink" xfId="572" builtinId="9" hidden="1"/>
    <cellStyle name="Followed Hyperlink" xfId="389" builtinId="9" hidden="1"/>
    <cellStyle name="Followed Hyperlink" xfId="251" builtinId="9" hidden="1"/>
    <cellStyle name="Followed Hyperlink" xfId="404" builtinId="9" hidden="1"/>
    <cellStyle name="Followed Hyperlink" xfId="349" builtinId="9" hidden="1"/>
    <cellStyle name="Followed Hyperlink" xfId="343" builtinId="9" hidden="1"/>
    <cellStyle name="Followed Hyperlink" xfId="405" builtinId="9" hidden="1"/>
    <cellStyle name="Followed Hyperlink" xfId="66" builtinId="9" hidden="1"/>
    <cellStyle name="Followed Hyperlink" xfId="124" builtinId="9" hidden="1"/>
    <cellStyle name="Followed Hyperlink" xfId="612" builtinId="9" hidden="1"/>
    <cellStyle name="Followed Hyperlink" xfId="2" builtinId="9" hidden="1"/>
    <cellStyle name="Followed Hyperlink" xfId="94" builtinId="9" hidden="1"/>
    <cellStyle name="Followed Hyperlink" xfId="28" builtinId="9" hidden="1"/>
    <cellStyle name="Followed Hyperlink" xfId="588" builtinId="9" hidden="1"/>
    <cellStyle name="Followed Hyperlink" xfId="370" builtinId="9" hidden="1"/>
    <cellStyle name="Followed Hyperlink" xfId="356" builtinId="9" hidden="1"/>
    <cellStyle name="Followed Hyperlink" xfId="430" builtinId="9" hidden="1"/>
    <cellStyle name="Followed Hyperlink" xfId="221" builtinId="9" hidden="1"/>
    <cellStyle name="Followed Hyperlink" xfId="132" builtinId="9" hidden="1"/>
    <cellStyle name="Followed Hyperlink" xfId="130" builtinId="9" hidden="1"/>
    <cellStyle name="Followed Hyperlink" xfId="502" builtinId="9" hidden="1"/>
    <cellStyle name="Followed Hyperlink" xfId="508" builtinId="9" hidden="1"/>
    <cellStyle name="Followed Hyperlink" xfId="426" builtinId="9" hidden="1"/>
    <cellStyle name="Followed Hyperlink" xfId="54" builtinId="9" hidden="1"/>
    <cellStyle name="Followed Hyperlink" xfId="526" builtinId="9" hidden="1"/>
    <cellStyle name="Followed Hyperlink" xfId="375" builtinId="9" hidden="1"/>
    <cellStyle name="Followed Hyperlink" xfId="438" builtinId="9" hidden="1"/>
    <cellStyle name="Followed Hyperlink" xfId="437" builtinId="9" hidden="1"/>
    <cellStyle name="Followed Hyperlink" xfId="360" builtinId="9" hidden="1"/>
    <cellStyle name="Followed Hyperlink" xfId="341" builtinId="9" hidden="1"/>
    <cellStyle name="Followed Hyperlink" xfId="361" builtinId="9" hidden="1"/>
    <cellStyle name="Followed Hyperlink" xfId="291" builtinId="9" hidden="1"/>
    <cellStyle name="Followed Hyperlink" xfId="372" builtinId="9" hidden="1"/>
    <cellStyle name="Followed Hyperlink" xfId="325" builtinId="9" hidden="1"/>
    <cellStyle name="Followed Hyperlink" xfId="421" builtinId="9" hidden="1"/>
    <cellStyle name="Followed Hyperlink" xfId="385" builtinId="9" hidden="1"/>
    <cellStyle name="Followed Hyperlink" xfId="295" builtinId="9" hidden="1"/>
    <cellStyle name="Followed Hyperlink" xfId="392" builtinId="9" hidden="1"/>
    <cellStyle name="Followed Hyperlink" xfId="289" builtinId="9" hidden="1"/>
    <cellStyle name="Followed Hyperlink" xfId="197" builtinId="9" hidden="1"/>
    <cellStyle name="Followed Hyperlink" xfId="365" builtinId="9" hidden="1"/>
    <cellStyle name="Followed Hyperlink" xfId="514" builtinId="9" hidden="1"/>
    <cellStyle name="Followed Hyperlink" xfId="108" builtinId="9" hidden="1"/>
    <cellStyle name="Followed Hyperlink" xfId="584" builtinId="9" hidden="1"/>
    <cellStyle name="Followed Hyperlink" xfId="448" builtinId="9" hidden="1"/>
    <cellStyle name="Followed Hyperlink" xfId="321" builtinId="9" hidden="1"/>
    <cellStyle name="Followed Hyperlink" xfId="432" builtinId="9" hidden="1"/>
    <cellStyle name="Followed Hyperlink" xfId="60" builtinId="9" hidden="1"/>
    <cellStyle name="Followed Hyperlink" xfId="580" builtinId="9" hidden="1"/>
    <cellStyle name="Followed Hyperlink" xfId="487" builtinId="9" hidden="1"/>
    <cellStyle name="Followed Hyperlink" xfId="142" builtinId="9" hidden="1"/>
    <cellStyle name="Followed Hyperlink" xfId="273" builtinId="9" hidden="1"/>
    <cellStyle name="Followed Hyperlink" xfId="80" builtinId="9" hidden="1"/>
    <cellStyle name="Followed Hyperlink" xfId="546" builtinId="9" hidden="1"/>
    <cellStyle name="Followed Hyperlink" xfId="552" builtinId="9" hidden="1"/>
    <cellStyle name="Followed Hyperlink" xfId="92" builtinId="9" hidden="1"/>
    <cellStyle name="Followed Hyperlink" xfId="269" builtinId="9" hidden="1"/>
    <cellStyle name="Followed Hyperlink" xfId="162" builtinId="9" hidden="1"/>
    <cellStyle name="Followed Hyperlink" xfId="363" builtinId="9" hidden="1"/>
    <cellStyle name="Followed Hyperlink" xfId="610" builtinId="9" hidden="1"/>
    <cellStyle name="Followed Hyperlink" xfId="566" builtinId="9" hidden="1"/>
    <cellStyle name="Followed Hyperlink" xfId="429" builtinId="9" hidden="1"/>
    <cellStyle name="Followed Hyperlink" xfId="217" builtinId="9" hidden="1"/>
    <cellStyle name="Followed Hyperlink" xfId="78" builtinId="9" hidden="1"/>
    <cellStyle name="Followed Hyperlink" xfId="233" builtinId="9" hidden="1"/>
    <cellStyle name="Followed Hyperlink" xfId="475" builtinId="9" hidden="1"/>
    <cellStyle name="Followed Hyperlink" xfId="209" builtinId="9" hidden="1"/>
    <cellStyle name="Followed Hyperlink" xfId="367" builtinId="9" hidden="1"/>
    <cellStyle name="Followed Hyperlink" xfId="122" builtinId="9" hidden="1"/>
    <cellStyle name="Followed Hyperlink" xfId="626" builtinId="9" hidden="1"/>
    <cellStyle name="Followed Hyperlink" xfId="621" builtinId="9" hidden="1"/>
    <cellStyle name="Followed Hyperlink" xfId="6" builtinId="9" hidden="1"/>
    <cellStyle name="Followed Hyperlink" xfId="82" builtinId="9" hidden="1"/>
    <cellStyle name="Followed Hyperlink" xfId="245" builtinId="9" hidden="1"/>
    <cellStyle name="Followed Hyperlink" xfId="457" builtinId="9" hidden="1"/>
    <cellStyle name="Followed Hyperlink" xfId="458" builtinId="9" hidden="1"/>
    <cellStyle name="Followed Hyperlink" xfId="562" builtinId="9" hidden="1"/>
    <cellStyle name="Followed Hyperlink" xfId="497" builtinId="9" hidden="1"/>
    <cellStyle name="Followed Hyperlink" xfId="287" builtinId="9" hidden="1"/>
    <cellStyle name="Followed Hyperlink" xfId="518" builtinId="9" hidden="1"/>
    <cellStyle name="Followed Hyperlink" xfId="156" builtinId="9" hidden="1"/>
    <cellStyle name="Followed Hyperlink" xfId="420" builtinId="9" hidden="1"/>
    <cellStyle name="Followed Hyperlink" xfId="504" builtinId="9" hidden="1"/>
    <cellStyle name="Followed Hyperlink" xfId="178" builtinId="9" hidden="1"/>
    <cellStyle name="Followed Hyperlink" xfId="387" builtinId="9" hidden="1"/>
    <cellStyle name="Followed Hyperlink" xfId="425" builtinId="9" hidden="1"/>
    <cellStyle name="Followed Hyperlink" xfId="191" builtinId="9" hidden="1"/>
    <cellStyle name="Followed Hyperlink" xfId="494" builtinId="9" hidden="1"/>
    <cellStyle name="Followed Hyperlink" xfId="172" builtinId="9" hidden="1"/>
    <cellStyle name="Followed Hyperlink" xfId="536" builtinId="9" hidden="1"/>
    <cellStyle name="Followed Hyperlink" xfId="544" builtinId="9" hidden="1"/>
    <cellStyle name="Followed Hyperlink" xfId="114" builtinId="9" hidden="1"/>
    <cellStyle name="Followed Hyperlink" xfId="359" builtinId="9" hidden="1"/>
    <cellStyle name="Followed Hyperlink" xfId="86" builtinId="9" hidden="1"/>
    <cellStyle name="Followed Hyperlink" xfId="255" builtinId="9" hidden="1"/>
    <cellStyle name="Followed Hyperlink" xfId="433" builtinId="9" hidden="1"/>
    <cellStyle name="Followed Hyperlink" xfId="40" builtinId="9" hidden="1"/>
    <cellStyle name="Followed Hyperlink" xfId="586" builtinId="9" hidden="1"/>
    <cellStyle name="Followed Hyperlink" xfId="283" builtinId="9" hidden="1"/>
    <cellStyle name="Followed Hyperlink" xfId="136" builtinId="9" hidden="1"/>
    <cellStyle name="Followed Hyperlink" xfId="154" builtinId="9" hidden="1"/>
    <cellStyle name="Followed Hyperlink" xfId="8" builtinId="9" hidden="1"/>
    <cellStyle name="Followed Hyperlink" xfId="305" builtinId="9" hidden="1"/>
    <cellStyle name="Followed Hyperlink" xfId="275" builtinId="9" hidden="1"/>
    <cellStyle name="Followed Hyperlink" xfId="64" builtinId="9" hidden="1"/>
    <cellStyle name="Followed Hyperlink" xfId="530" builtinId="9" hidden="1"/>
    <cellStyle name="Followed Hyperlink" xfId="241" builtinId="9" hidden="1"/>
    <cellStyle name="Followed Hyperlink" xfId="454" builtinId="9" hidden="1"/>
    <cellStyle name="Followed Hyperlink" xfId="423" builtinId="9" hidden="1"/>
    <cellStyle name="Followed Hyperlink" xfId="90" builtinId="9" hidden="1"/>
    <cellStyle name="Followed Hyperlink" xfId="473" builtinId="9" hidden="1"/>
    <cellStyle name="Followed Hyperlink" xfId="355" builtinId="9" hidden="1"/>
    <cellStyle name="Followed Hyperlink" xfId="237" builtinId="9" hidden="1"/>
    <cellStyle name="Followed Hyperlink" xfId="500" builtinId="9" hidden="1"/>
    <cellStyle name="Followed Hyperlink" xfId="538" builtinId="9" hidden="1"/>
    <cellStyle name="Followed Hyperlink" xfId="313" builtinId="9" hidden="1"/>
    <cellStyle name="Followed Hyperlink" xfId="407" builtinId="9" hidden="1"/>
    <cellStyle name="Followed Hyperlink" xfId="96" builtinId="9" hidden="1"/>
    <cellStyle name="Followed Hyperlink" xfId="34" builtinId="9" hidden="1"/>
    <cellStyle name="Followed Hyperlink" xfId="388" builtinId="9" hidden="1"/>
    <cellStyle name="Followed Hyperlink" xfId="116" builtinId="9" hidden="1"/>
    <cellStyle name="Followed Hyperlink" xfId="472" builtinId="9" hidden="1"/>
    <cellStyle name="Followed Hyperlink" xfId="459" builtinId="9" hidden="1"/>
    <cellStyle name="Followed Hyperlink" xfId="501" builtinId="9" hidden="1"/>
    <cellStyle name="Followed Hyperlink" xfId="415" builtinId="9" hidden="1"/>
    <cellStyle name="Followed Hyperlink" xfId="180" builtinId="9" hidden="1"/>
    <cellStyle name="Followed Hyperlink" xfId="439" builtinId="9" hidden="1"/>
    <cellStyle name="Followed Hyperlink" xfId="374" builtinId="9" hidden="1"/>
    <cellStyle name="Followed Hyperlink" xfId="339" builtinId="9" hidden="1"/>
    <cellStyle name="Followed Hyperlink" xfId="442" builtinId="9" hidden="1"/>
    <cellStyle name="Followed Hyperlink" xfId="463" builtinId="9" hidden="1"/>
    <cellStyle name="Followed Hyperlink" xfId="590" builtinId="9" hidden="1"/>
    <cellStyle name="Followed Hyperlink" xfId="600" builtinId="9" hidden="1"/>
    <cellStyle name="Followed Hyperlink" xfId="431" builtinId="9" hidden="1"/>
    <cellStyle name="Followed Hyperlink" xfId="435" builtinId="9" hidden="1"/>
    <cellStyle name="Followed Hyperlink" xfId="329" builtinId="9" hidden="1"/>
    <cellStyle name="Followed Hyperlink" xfId="400" builtinId="9" hidden="1"/>
    <cellStyle name="Followed Hyperlink" xfId="436" builtinId="9" hidden="1"/>
    <cellStyle name="Followed Hyperlink" xfId="44" builtinId="9" hidden="1"/>
    <cellStyle name="Followed Hyperlink" xfId="516" builtinId="9" hidden="1"/>
    <cellStyle name="Followed Hyperlink" xfId="534" builtinId="9" hidden="1"/>
    <cellStyle name="Followed Hyperlink" xfId="382" builtinId="9" hidden="1"/>
    <cellStyle name="Followed Hyperlink" xfId="578" builtinId="9" hidden="1"/>
    <cellStyle name="Followed Hyperlink" xfId="582" builtinId="9" hidden="1"/>
    <cellStyle name="Followed Hyperlink" xfId="12" builtinId="9" hidden="1"/>
    <cellStyle name="Followed Hyperlink" xfId="441" builtinId="9" hidden="1"/>
    <cellStyle name="Followed Hyperlink" xfId="461" builtinId="9" hidden="1"/>
    <cellStyle name="Followed Hyperlink" xfId="333" builtinId="9" hidden="1"/>
    <cellStyle name="Followed Hyperlink" xfId="450" builtinId="9" hidden="1"/>
    <cellStyle name="Followed Hyperlink" xfId="410" builtinId="9" hidden="1"/>
    <cellStyle name="Followed Hyperlink" xfId="368" builtinId="9" hidden="1"/>
    <cellStyle name="Followed Hyperlink" xfId="606" builtinId="9" hidden="1"/>
    <cellStyle name="Followed Hyperlink" xfId="413" builtinId="9" hidden="1"/>
    <cellStyle name="Followed Hyperlink" xfId="215" builtinId="9" hidden="1"/>
    <cellStyle name="Followed Hyperlink" xfId="150" builtinId="9" hidden="1"/>
    <cellStyle name="Followed Hyperlink" xfId="434" builtinId="9" hidden="1"/>
    <cellStyle name="Followed Hyperlink" xfId="445" builtinId="9" hidden="1"/>
    <cellStyle name="Followed Hyperlink" xfId="462" builtinId="9" hidden="1"/>
    <cellStyle name="Followed Hyperlink" xfId="189" builtinId="9" hidden="1"/>
    <cellStyle name="Followed Hyperlink" xfId="42" builtinId="9" hidden="1"/>
    <cellStyle name="Followed Hyperlink" xfId="417" builtinId="9" hidden="1"/>
    <cellStyle name="Followed Hyperlink" xfId="195" builtinId="9" hidden="1"/>
    <cellStyle name="Followed Hyperlink" xfId="556" builtinId="9" hidden="1"/>
    <cellStyle name="Followed Hyperlink" xfId="414" builtinId="9" hidden="1"/>
    <cellStyle name="Followed Hyperlink" xfId="592" builtinId="9" hidden="1"/>
    <cellStyle name="Followed Hyperlink" xfId="478" builtinId="9" hidden="1"/>
    <cellStyle name="Followed Hyperlink" xfId="68" builtinId="9" hidden="1"/>
    <cellStyle name="Followed Hyperlink" xfId="279" builtinId="9" hidden="1"/>
    <cellStyle name="Followed Hyperlink" xfId="106" builtinId="9" hidden="1"/>
    <cellStyle name="Followed Hyperlink" xfId="303" builtinId="9" hidden="1"/>
    <cellStyle name="Followed Hyperlink" xfId="378" builtinId="9" hidden="1"/>
    <cellStyle name="Followed Hyperlink" xfId="186" builtinId="9" hidden="1"/>
    <cellStyle name="Followed Hyperlink" xfId="144" builtinId="9" hidden="1"/>
    <cellStyle name="Followed Hyperlink" xfId="384" builtinId="9" hidden="1"/>
    <cellStyle name="Followed Hyperlink" xfId="491" builtinId="9" hidden="1"/>
    <cellStyle name="Followed Hyperlink" xfId="499" builtinId="9" hidden="1"/>
    <cellStyle name="Followed Hyperlink" xfId="102" builtinId="9" hidden="1"/>
    <cellStyle name="Followed Hyperlink" xfId="411" builtinId="9" hidden="1"/>
    <cellStyle name="Followed Hyperlink" xfId="422" builtinId="9" hidden="1"/>
    <cellStyle name="Followed Hyperlink" xfId="52" builtinId="9" hidden="1"/>
    <cellStyle name="Followed Hyperlink" xfId="259" builtinId="9" hidden="1"/>
    <cellStyle name="Followed Hyperlink" xfId="366" builtinId="9" hidden="1"/>
    <cellStyle name="Followed Hyperlink" xfId="465" builtinId="9" hidden="1"/>
    <cellStyle name="Followed Hyperlink" xfId="281" builtinId="9" hidden="1"/>
    <cellStyle name="Followed Hyperlink" xfId="574" builtinId="9" hidden="1"/>
    <cellStyle name="Followed Hyperlink" xfId="168" builtinId="9" hidden="1"/>
    <cellStyle name="Followed Hyperlink" xfId="335" builtinId="9" hidden="1"/>
    <cellStyle name="Followed Hyperlink" xfId="627" builtinId="9" hidden="1"/>
    <cellStyle name="Followed Hyperlink" xfId="464" builtinId="9" hidden="1"/>
    <cellStyle name="Followed Hyperlink" xfId="482" builtinId="9" hidden="1"/>
    <cellStyle name="Followed Hyperlink" xfId="16" builtinId="9" hidden="1"/>
    <cellStyle name="Followed Hyperlink" xfId="594" builtinId="9" hidden="1"/>
    <cellStyle name="Followed Hyperlink" xfId="62" builtinId="9" hidden="1"/>
    <cellStyle name="Followed Hyperlink" xfId="453" builtinId="9" hidden="1"/>
    <cellStyle name="Followed Hyperlink" xfId="18" builtinId="9" hidden="1"/>
    <cellStyle name="Followed Hyperlink" xfId="160" builtinId="9" hidden="1"/>
    <cellStyle name="Followed Hyperlink" xfId="352" builtinId="9" hidden="1"/>
    <cellStyle name="Followed Hyperlink" xfId="56" builtinId="9" hidden="1"/>
    <cellStyle name="Followed Hyperlink" xfId="380" builtinId="9" hidden="1"/>
    <cellStyle name="Followed Hyperlink" xfId="424" builtinId="9" hidden="1"/>
    <cellStyle name="Followed Hyperlink" xfId="406" builtinId="9" hidden="1"/>
    <cellStyle name="Followed Hyperlink" xfId="483" builtinId="9" hidden="1"/>
    <cellStyle name="Followed Hyperlink" xfId="170" builtinId="9" hidden="1"/>
    <cellStyle name="Followed Hyperlink" xfId="225" builtinId="9" hidden="1"/>
    <cellStyle name="Followed Hyperlink" xfId="460" builtinId="9" hidden="1"/>
    <cellStyle name="Followed Hyperlink" xfId="253" builtinId="9" hidden="1"/>
    <cellStyle name="Followed Hyperlink" xfId="219" builtinId="9" hidden="1"/>
    <cellStyle name="Followed Hyperlink" xfId="229" builtinId="9" hidden="1"/>
    <cellStyle name="Followed Hyperlink" xfId="201" builtinId="9" hidden="1"/>
    <cellStyle name="Followed Hyperlink" xfId="249" builtinId="9" hidden="1"/>
    <cellStyle name="Followed Hyperlink" xfId="564" builtinId="9" hidden="1"/>
    <cellStyle name="Followed Hyperlink" xfId="479" builtinId="9" hidden="1"/>
    <cellStyle name="Followed Hyperlink" xfId="193" builtinId="9" hidden="1"/>
    <cellStyle name="Followed Hyperlink" xfId="408" builtinId="9" hidden="1"/>
    <cellStyle name="Followed Hyperlink" xfId="550" builtinId="9" hidden="1"/>
    <cellStyle name="Followed Hyperlink" xfId="48" builtinId="9" hidden="1"/>
    <cellStyle name="Followed Hyperlink" xfId="213" builtinId="9" hidden="1"/>
    <cellStyle name="Followed Hyperlink" xfId="88" builtinId="9" hidden="1"/>
    <cellStyle name="Followed Hyperlink" xfId="369" builtinId="9" hidden="1"/>
    <cellStyle name="Followed Hyperlink" xfId="120" builtinId="9" hidden="1"/>
    <cellStyle name="Followed Hyperlink" xfId="311" builtinId="9" hidden="1"/>
    <cellStyle name="Followed Hyperlink" xfId="247" builtinId="9" hidden="1"/>
    <cellStyle name="Followed Hyperlink" xfId="481" builtinId="9" hidden="1"/>
    <cellStyle name="Followed Hyperlink" xfId="427" builtinId="9" hidden="1"/>
    <cellStyle name="Followed Hyperlink" xfId="403" builtinId="9" hidden="1"/>
    <cellStyle name="Followed Hyperlink" xfId="488" builtinId="9" hidden="1"/>
    <cellStyle name="Followed Hyperlink" xfId="596" builtinId="9" hidden="1"/>
    <cellStyle name="Followed Hyperlink" xfId="443" builtinId="9" hidden="1"/>
    <cellStyle name="Followed Hyperlink" xfId="182" builtinId="9" hidden="1"/>
    <cellStyle name="Followed Hyperlink" xfId="24" builtinId="9" hidden="1"/>
    <cellStyle name="Followed Hyperlink" xfId="598" builtinId="9" hidden="1"/>
    <cellStyle name="Followed Hyperlink" xfId="419" builtinId="9" hidden="1"/>
    <cellStyle name="Followed Hyperlink" xfId="187" builtinId="9" hidden="1"/>
    <cellStyle name="Followed Hyperlink" xfId="58" builtinId="9" hidden="1"/>
    <cellStyle name="Followed Hyperlink" xfId="347" builtinId="9" hidden="1"/>
    <cellStyle name="Followed Hyperlink" xfId="444" builtinId="9" hidden="1"/>
    <cellStyle name="Followed Hyperlink" xfId="327" builtinId="9" hidden="1"/>
    <cellStyle name="Followed Hyperlink" xfId="72" builtinId="9" hidden="1"/>
    <cellStyle name="Followed Hyperlink" xfId="84" builtinId="9" hidden="1"/>
    <cellStyle name="Followed Hyperlink" xfId="76" builtinId="9" hidden="1"/>
    <cellStyle name="Followed Hyperlink" xfId="418" builtinId="9" hidden="1"/>
    <cellStyle name="Followed Hyperlink" xfId="401" builtinId="9" hidden="1"/>
    <cellStyle name="Followed Hyperlink" xfId="542" builtinId="9" hidden="1"/>
    <cellStyle name="Followed Hyperlink" xfId="484" builtinId="9" hidden="1"/>
    <cellStyle name="Followed Hyperlink" xfId="623" builtinId="9" hidden="1"/>
    <cellStyle name="Followed Hyperlink" xfId="455" builtinId="9" hidden="1"/>
    <cellStyle name="Followed Hyperlink" xfId="470" builtinId="9" hidden="1"/>
    <cellStyle name="Followed Hyperlink" xfId="134" builtinId="9" hidden="1"/>
    <cellStyle name="Followed Hyperlink" xfId="118" builtinId="9" hidden="1"/>
    <cellStyle name="Followed Hyperlink" xfId="604" builtinId="9" hidden="1"/>
    <cellStyle name="Followed Hyperlink" xfId="199" builtinId="9" hidden="1"/>
    <cellStyle name="Followed Hyperlink" xfId="112" builtinId="9" hidden="1"/>
    <cellStyle name="Followed Hyperlink" xfId="396" builtinId="9" hidden="1"/>
    <cellStyle name="Followed Hyperlink" xfId="10" builtinId="9" hidden="1"/>
    <cellStyle name="Followed Hyperlink" xfId="164" builtinId="9" hidden="1"/>
    <cellStyle name="Followed Hyperlink" xfId="203" builtinId="9" hidden="1"/>
    <cellStyle name="Followed Hyperlink" xfId="152" builtinId="9" hidden="1"/>
    <cellStyle name="Followed Hyperlink" xfId="358" builtinId="9" hidden="1"/>
    <cellStyle name="Followed Hyperlink" xfId="402" builtinId="9" hidden="1"/>
    <cellStyle name="Followed Hyperlink" xfId="364" builtinId="9" hidden="1"/>
    <cellStyle name="Followed Hyperlink" xfId="301" builtinId="9" hidden="1"/>
    <cellStyle name="Followed Hyperlink" xfId="570" builtinId="9" hidden="1"/>
    <cellStyle name="Followed Hyperlink" xfId="362" builtinId="9" hidden="1"/>
    <cellStyle name="Followed Hyperlink" xfId="512" builtinId="9" hidden="1"/>
    <cellStyle name="Followed Hyperlink" xfId="477" builtinId="9" hidden="1"/>
    <cellStyle name="Followed Hyperlink" xfId="391" builtinId="9" hidden="1"/>
    <cellStyle name="Followed Hyperlink" xfId="602" builtinId="9" hidden="1"/>
    <cellStyle name="Followed Hyperlink" xfId="14" builtinId="9" hidden="1"/>
    <cellStyle name="Followed Hyperlink" xfId="522" builtinId="9" hidden="1"/>
    <cellStyle name="Followed Hyperlink" xfId="263" builtinId="9" hidden="1"/>
    <cellStyle name="Followed Hyperlink" xfId="474" builtinId="9" hidden="1"/>
    <cellStyle name="Followed Hyperlink" xfId="373" builtinId="9" hidden="1"/>
    <cellStyle name="Followed Hyperlink" xfId="223" builtinId="9" hidden="1"/>
    <cellStyle name="Followed Hyperlink" xfId="532" builtinId="9" hidden="1"/>
    <cellStyle name="Followed Hyperlink" xfId="239" builtinId="9" hidden="1"/>
    <cellStyle name="Followed Hyperlink" xfId="386" builtinId="9" hidden="1"/>
    <cellStyle name="Followed Hyperlink" xfId="140" builtinId="9" hidden="1"/>
    <cellStyle name="Followed Hyperlink" xfId="293" builtinId="9" hidden="1"/>
    <cellStyle name="Followed Hyperlink" xfId="184" builtinId="9" hidden="1"/>
    <cellStyle name="Followed Hyperlink" xfId="261" builtinId="9" hidden="1"/>
    <cellStyle name="Followed Hyperlink" xfId="110" builtinId="9" hidden="1"/>
    <cellStyle name="Followed Hyperlink" xfId="452" builtinId="9" hidden="1"/>
    <cellStyle name="Followed Hyperlink" xfId="616" builtinId="9" hidden="1"/>
    <cellStyle name="Followed Hyperlink" xfId="36" builtinId="9" hidden="1"/>
    <cellStyle name="Followed Hyperlink" xfId="98" builtinId="9" hidden="1"/>
    <cellStyle name="Followed Hyperlink" xfId="480" builtinId="9" hidden="1"/>
    <cellStyle name="Followed Hyperlink" xfId="558" builtinId="9" hidden="1"/>
    <cellStyle name="Followed Hyperlink" xfId="267" builtinId="9" hidden="1"/>
    <cellStyle name="Followed Hyperlink" xfId="207" builtinId="9" hidden="1"/>
    <cellStyle name="Followed Hyperlink" xfId="231" builtinId="9" hidden="1"/>
    <cellStyle name="Followed Hyperlink" xfId="394" builtinId="9" hidden="1"/>
    <cellStyle name="Followed Hyperlink" xfId="485" builtinId="9" hidden="1"/>
    <cellStyle name="Followed Hyperlink" xfId="319" builtinId="9" hidden="1"/>
    <cellStyle name="Followed Hyperlink" xfId="176" builtinId="9" hidden="1"/>
    <cellStyle name="Followed Hyperlink" xfId="20" builtinId="9" hidden="1"/>
    <cellStyle name="Followed Hyperlink" xfId="211" builtinId="9" hidden="1"/>
    <cellStyle name="Followed Hyperlink" xfId="126" builtinId="9" hidden="1"/>
    <cellStyle name="Followed Hyperlink" xfId="337" builtinId="9" hidden="1"/>
    <cellStyle name="Followed Hyperlink" xfId="576" builtinId="9" hidden="1"/>
    <cellStyle name="Followed Hyperlink" xfId="416" builtinId="9" hidden="1"/>
    <cellStyle name="Followed Hyperlink" xfId="297" builtinId="9" hidden="1"/>
    <cellStyle name="Followed Hyperlink" xfId="397" builtinId="9" hidden="1"/>
    <cellStyle name="Followed Hyperlink" xfId="393" builtinId="9" hidden="1"/>
    <cellStyle name="Followed Hyperlink" xfId="498" builtinId="9" hidden="1"/>
    <cellStyle name="Followed Hyperlink" xfId="493" builtinId="9" hidden="1"/>
    <cellStyle name="Followed Hyperlink" xfId="227" builtinId="9" hidden="1"/>
    <cellStyle name="Followed Hyperlink" xfId="257" builtinId="9" hidden="1"/>
    <cellStyle name="Followed Hyperlink" xfId="449" builtinId="9" hidden="1"/>
    <cellStyle name="Followed Hyperlink" xfId="351" builtinId="9" hidden="1"/>
    <cellStyle name="Followed Hyperlink" xfId="317" builtinId="9" hidden="1"/>
    <cellStyle name="Followed Hyperlink" xfId="490" builtinId="9" hidden="1"/>
    <cellStyle name="Followed Hyperlink" xfId="451" builtinId="9" hidden="1"/>
    <cellStyle name="Followed Hyperlink" xfId="285" builtinId="9" hidden="1"/>
    <cellStyle name="Followed Hyperlink" xfId="614" builtinId="9" hidden="1"/>
    <cellStyle name="Followed Hyperlink" xfId="520" builtinId="9" hidden="1"/>
    <cellStyle name="Followed Hyperlink" xfId="271" builtinId="9" hidden="1"/>
    <cellStyle name="Followed Hyperlink" xfId="447" builtinId="9" hidden="1"/>
    <cellStyle name="Followed Hyperlink" xfId="476" builtinId="9" hidden="1"/>
    <cellStyle name="Followed Hyperlink" xfId="26" builtinId="9" hidden="1"/>
    <cellStyle name="Followed Hyperlink" xfId="70" builtinId="9" hidden="1"/>
    <cellStyle name="Followed Hyperlink" xfId="628" builtinId="9" hidden="1"/>
    <cellStyle name="Good" xfId="629" builtinId="26"/>
    <cellStyle name="Hyperlink" xfId="350" builtinId="8" hidden="1"/>
    <cellStyle name="Hyperlink" xfId="173" builtinId="8" hidden="1"/>
    <cellStyle name="Hyperlink" xfId="206" builtinId="8" hidden="1"/>
    <cellStyle name="Hyperlink" xfId="188" builtinId="8" hidden="1"/>
    <cellStyle name="Hyperlink" xfId="103" builtinId="8" hidden="1"/>
    <cellStyle name="Hyperlink" xfId="7" builtinId="8" hidden="1"/>
    <cellStyle name="Hyperlink" xfId="308" builtinId="8" hidden="1"/>
    <cellStyle name="Hyperlink" xfId="13" builtinId="8" hidden="1"/>
    <cellStyle name="Hyperlink" xfId="589" builtinId="8" hidden="1"/>
    <cellStyle name="Hyperlink" xfId="523" builtinId="8" hidden="1"/>
    <cellStyle name="Hyperlink" xfId="228" builtinId="8" hidden="1"/>
    <cellStyle name="Hyperlink" xfId="33" builtinId="8" hidden="1"/>
    <cellStyle name="Hyperlink" xfId="101" builtinId="8" hidden="1"/>
    <cellStyle name="Hyperlink" xfId="579" builtinId="8" hidden="1"/>
    <cellStyle name="Hyperlink" xfId="250" builtinId="8" hidden="1"/>
    <cellStyle name="Hyperlink" xfId="119" builtinId="8" hidden="1"/>
    <cellStyle name="Hyperlink" xfId="204" builtinId="8" hidden="1"/>
    <cellStyle name="Hyperlink" xfId="296" builtinId="8" hidden="1"/>
    <cellStyle name="Hyperlink" xfId="302" builtinId="8" hidden="1"/>
    <cellStyle name="Hyperlink" xfId="175" builtinId="8" hidden="1"/>
    <cellStyle name="Hyperlink" xfId="232" builtinId="8" hidden="1"/>
    <cellStyle name="Hyperlink" xfId="181" builtinId="8" hidden="1"/>
    <cellStyle name="Hyperlink" xfId="121" builtinId="8" hidden="1"/>
    <cellStyle name="Hyperlink" xfId="324" builtinId="8" hidden="1"/>
    <cellStyle name="Hyperlink" xfId="330" builtinId="8" hidden="1"/>
    <cellStyle name="Hyperlink" xfId="553" builtinId="8" hidden="1"/>
    <cellStyle name="Hyperlink" xfId="83" builtinId="8" hidden="1"/>
    <cellStyle name="Hyperlink" xfId="515" builtinId="8" hidden="1"/>
    <cellStyle name="Hyperlink" xfId="161" builtinId="8" hidden="1"/>
    <cellStyle name="Hyperlink" xfId="525" builtinId="8" hidden="1"/>
    <cellStyle name="Hyperlink" xfId="383" builtinId="8" hidden="1"/>
    <cellStyle name="Hyperlink" xfId="348" builtinId="8" hidden="1"/>
    <cellStyle name="Hyperlink" xfId="541" builtinId="8" hidden="1"/>
    <cellStyle name="Hyperlink" xfId="286" builtinId="8" hidden="1"/>
    <cellStyle name="Hyperlink" xfId="198" builtinId="8" hidden="1"/>
    <cellStyle name="Hyperlink" xfId="334" builtinId="8" hidden="1"/>
    <cellStyle name="Hyperlink" xfId="563" builtinId="8" hidden="1"/>
    <cellStyle name="Hyperlink" xfId="288" builtinId="8" hidden="1"/>
    <cellStyle name="Hyperlink" xfId="169" builtinId="8" hidden="1"/>
    <cellStyle name="Hyperlink" xfId="611" builtinId="8" hidden="1"/>
    <cellStyle name="Hyperlink" xfId="29" builtinId="8" hidden="1"/>
    <cellStyle name="Hyperlink" xfId="246" builtinId="8" hidden="1"/>
    <cellStyle name="Hyperlink" xfId="533" builtinId="8" hidden="1"/>
    <cellStyle name="Hyperlink" xfId="609" builtinId="8" hidden="1"/>
    <cellStyle name="Hyperlink" xfId="73" builtinId="8" hidden="1"/>
    <cellStyle name="Hyperlink" xfId="131" builtinId="8" hidden="1"/>
    <cellStyle name="Hyperlink" xfId="87" builtinId="8" hidden="1"/>
    <cellStyle name="Hyperlink" xfId="43" builtinId="8" hidden="1"/>
    <cellStyle name="Hyperlink" xfId="208" builtinId="8" hidden="1"/>
    <cellStyle name="Hyperlink" xfId="306" builtinId="8" hidden="1"/>
    <cellStyle name="Hyperlink" xfId="551" builtinId="8" hidden="1"/>
    <cellStyle name="Hyperlink" xfId="135" builtinId="8" hidden="1"/>
    <cellStyle name="Hyperlink" xfId="27" builtinId="8" hidden="1"/>
    <cellStyle name="Hyperlink" xfId="145" builtinId="8" hidden="1"/>
    <cellStyle name="Hyperlink" xfId="381" builtinId="8" hidden="1"/>
    <cellStyle name="Hyperlink" xfId="244" builtinId="8" hidden="1"/>
    <cellStyle name="Hyperlink" xfId="260" builtinId="8" hidden="1"/>
    <cellStyle name="Hyperlink" xfId="167" builtinId="8" hidden="1"/>
    <cellStyle name="Hyperlink" xfId="226" builtinId="8" hidden="1"/>
    <cellStyle name="Hyperlink" xfId="617" builtinId="8" hidden="1"/>
    <cellStyle name="Hyperlink" xfId="507" builtinId="8" hidden="1"/>
    <cellStyle name="Hyperlink" xfId="143" builtinId="8" hidden="1"/>
    <cellStyle name="Hyperlink" xfId="581" builtinId="8" hidden="1"/>
    <cellStyle name="Hyperlink" xfId="559" builtinId="8" hidden="1"/>
    <cellStyle name="Hyperlink" xfId="45" builtinId="8" hidden="1"/>
    <cellStyle name="Hyperlink" xfId="567" builtinId="8" hidden="1"/>
    <cellStyle name="Hyperlink" xfId="601" builtinId="8" hidden="1"/>
    <cellStyle name="Hyperlink" xfId="599" builtinId="8" hidden="1"/>
    <cellStyle name="Hyperlink" xfId="587" builtinId="8" hidden="1"/>
    <cellStyle name="Hyperlink" xfId="89" builtinId="8" hidden="1"/>
    <cellStyle name="Hyperlink" xfId="344" builtinId="8" hidden="1"/>
    <cellStyle name="Hyperlink" xfId="171" builtinId="8" hidden="1"/>
    <cellStyle name="Hyperlink" xfId="304" builtinId="8" hidden="1"/>
    <cellStyle name="Hyperlink" xfId="513" builtinId="8" hidden="1"/>
    <cellStyle name="Hyperlink" xfId="53" builtinId="8" hidden="1"/>
    <cellStyle name="Hyperlink" xfId="322" builtinId="8" hidden="1"/>
    <cellStyle name="Hyperlink" xfId="91" builtinId="8" hidden="1"/>
    <cellStyle name="Hyperlink" xfId="51" builtinId="8" hidden="1"/>
    <cellStyle name="Hyperlink" xfId="340" builtinId="8" hidden="1"/>
    <cellStyle name="Hyperlink" xfId="111" builtinId="8" hidden="1"/>
    <cellStyle name="Hyperlink" xfId="61" builtinId="8" hidden="1"/>
    <cellStyle name="Hyperlink" xfId="573" builtinId="8" hidden="1"/>
    <cellStyle name="Hyperlink" xfId="202" builtinId="8" hidden="1"/>
    <cellStyle name="Hyperlink" xfId="212" builtinId="8" hidden="1"/>
    <cellStyle name="Hyperlink" xfId="258" builtinId="8" hidden="1"/>
    <cellStyle name="Hyperlink" xfId="159" builtinId="8" hidden="1"/>
    <cellStyle name="Hyperlink" xfId="332" builtinId="8" hidden="1"/>
    <cellStyle name="Hyperlink" xfId="326" builtinId="8" hidden="1"/>
    <cellStyle name="Hyperlink" xfId="67" builtinId="8" hidden="1"/>
    <cellStyle name="Hyperlink" xfId="109" builtinId="8" hidden="1"/>
    <cellStyle name="Hyperlink" xfId="264" builtinId="8" hidden="1"/>
    <cellStyle name="Hyperlink" xfId="561" builtinId="8" hidden="1"/>
    <cellStyle name="Hyperlink" xfId="183" builtinId="8" hidden="1"/>
    <cellStyle name="Hyperlink" xfId="569" builtinId="8" hidden="1"/>
    <cellStyle name="Hyperlink" xfId="274" builtinId="8" hidden="1"/>
    <cellStyle name="Hyperlink" xfId="320" builtinId="8" hidden="1"/>
    <cellStyle name="Hyperlink" xfId="220" builtinId="8" hidden="1"/>
    <cellStyle name="Hyperlink" xfId="318" builtinId="8" hidden="1"/>
    <cellStyle name="Hyperlink" xfId="292" builtinId="8" hidden="1"/>
    <cellStyle name="Hyperlink" xfId="294" builtinId="8" hidden="1"/>
    <cellStyle name="Hyperlink" xfId="139" builtinId="8" hidden="1"/>
    <cellStyle name="Hyperlink" xfId="115" builtinId="8" hidden="1"/>
    <cellStyle name="Hyperlink" xfId="105" builtinId="8" hidden="1"/>
    <cellStyle name="Hyperlink" xfId="185" builtinId="8" hidden="1"/>
    <cellStyle name="Hyperlink" xfId="242" builtinId="8" hidden="1"/>
    <cellStyle name="Hyperlink" xfId="593" builtinId="8" hidden="1"/>
    <cellStyle name="Hyperlink" xfId="163" builtinId="8" hidden="1"/>
    <cellStyle name="Hyperlink" xfId="23" builtinId="8" hidden="1"/>
    <cellStyle name="Hyperlink" xfId="3" builtinId="8" hidden="1"/>
    <cellStyle name="Hyperlink" xfId="256" builtinId="8" hidden="1"/>
    <cellStyle name="Hyperlink" xfId="69" builtinId="8" hidden="1"/>
    <cellStyle name="Hyperlink" xfId="192" builtinId="8" hidden="1"/>
    <cellStyle name="Hyperlink" xfId="31" builtinId="8" hidden="1"/>
    <cellStyle name="Hyperlink" xfId="278" builtinId="8" hidden="1"/>
    <cellStyle name="Hyperlink" xfId="55" builtinId="8" hidden="1"/>
    <cellStyle name="Hyperlink" xfId="63" builtinId="8" hidden="1"/>
    <cellStyle name="Hyperlink" xfId="615" builtinId="8" hidden="1"/>
    <cellStyle name="Hyperlink" xfId="234" builtinId="8" hidden="1"/>
    <cellStyle name="Hyperlink" xfId="537" builtinId="8" hidden="1"/>
    <cellStyle name="Hyperlink" xfId="35" builtinId="8" hidden="1"/>
    <cellStyle name="Hyperlink" xfId="190" builtinId="8" hidden="1"/>
    <cellStyle name="Hyperlink" xfId="597" builtinId="8" hidden="1"/>
    <cellStyle name="Hyperlink" xfId="151" builtinId="8" hidden="1"/>
    <cellStyle name="Hyperlink" xfId="165" builtinId="8" hidden="1"/>
    <cellStyle name="Hyperlink" xfId="147" builtinId="8" hidden="1"/>
    <cellStyle name="Hyperlink" xfId="9" builtinId="8" hidden="1"/>
    <cellStyle name="Hyperlink" xfId="71" builtinId="8" hidden="1"/>
    <cellStyle name="Hyperlink" xfId="539" builtinId="8" hidden="1"/>
    <cellStyle name="Hyperlink" xfId="575" builtinId="8" hidden="1"/>
    <cellStyle name="Hyperlink" xfId="545" builtinId="8" hidden="1"/>
    <cellStyle name="Hyperlink" xfId="216" builtinId="8" hidden="1"/>
    <cellStyle name="Hyperlink" xfId="194" builtinId="8" hidden="1"/>
    <cellStyle name="Hyperlink" xfId="149" builtinId="8" hidden="1"/>
    <cellStyle name="Hyperlink" xfId="11" builtinId="8" hidden="1"/>
    <cellStyle name="Hyperlink" xfId="141" builtinId="8" hidden="1"/>
    <cellStyle name="Hyperlink" xfId="238" builtinId="8" hidden="1"/>
    <cellStyle name="Hyperlink" xfId="272" builtinId="8" hidden="1"/>
    <cellStyle name="Hyperlink" xfId="316" builtinId="8" hidden="1"/>
    <cellStyle name="Hyperlink" xfId="613" builtinId="8" hidden="1"/>
    <cellStyle name="Hyperlink" xfId="117" builtinId="8" hidden="1"/>
    <cellStyle name="Hyperlink" xfId="280" builtinId="8" hidden="1"/>
    <cellStyle name="Hyperlink" xfId="549" builtinId="8" hidden="1"/>
    <cellStyle name="Hyperlink" xfId="25" builtinId="8" hidden="1"/>
    <cellStyle name="Hyperlink" xfId="47" builtinId="8" hidden="1"/>
    <cellStyle name="Hyperlink" xfId="127" builtinId="8" hidden="1"/>
    <cellStyle name="Hyperlink" xfId="81" builtinId="8" hidden="1"/>
    <cellStyle name="Hyperlink" xfId="284" builtinId="8" hidden="1"/>
    <cellStyle name="Hyperlink" xfId="133" builtinId="8" hidden="1"/>
    <cellStyle name="Hyperlink" xfId="113" builtinId="8" hidden="1"/>
    <cellStyle name="Hyperlink" xfId="21" builtinId="8" hidden="1"/>
    <cellStyle name="Hyperlink" xfId="97" builtinId="8" hidden="1"/>
    <cellStyle name="Hyperlink" xfId="224" builtinId="8" hidden="1"/>
    <cellStyle name="Hyperlink" xfId="314" builtinId="8" hidden="1"/>
    <cellStyle name="Hyperlink" xfId="377" builtinId="8" hidden="1"/>
    <cellStyle name="Hyperlink" xfId="270" builtinId="8" hidden="1"/>
    <cellStyle name="Hyperlink" xfId="155" builtinId="8" hidden="1"/>
    <cellStyle name="Hyperlink" xfId="65" builtinId="8" hidden="1"/>
    <cellStyle name="Hyperlink" xfId="49" builtinId="8" hidden="1"/>
    <cellStyle name="Hyperlink" xfId="99" builtinId="8" hidden="1"/>
    <cellStyle name="Hyperlink" xfId="298" builtinId="8" hidden="1"/>
    <cellStyle name="Hyperlink" xfId="85" builtinId="8" hidden="1"/>
    <cellStyle name="Hyperlink" xfId="603" builtinId="8" hidden="1"/>
    <cellStyle name="Hyperlink" xfId="591" builtinId="8" hidden="1"/>
    <cellStyle name="Hyperlink" xfId="125" builtinId="8" hidden="1"/>
    <cellStyle name="Hyperlink" xfId="37" builtinId="8" hidden="1"/>
    <cellStyle name="Hyperlink" xfId="565" builtinId="8" hidden="1"/>
    <cellStyle name="Hyperlink" xfId="218" builtinId="8" hidden="1"/>
    <cellStyle name="Hyperlink" xfId="39" builtinId="8" hidden="1"/>
    <cellStyle name="Hyperlink" xfId="157" builtinId="8" hidden="1"/>
    <cellStyle name="Hyperlink" xfId="179" builtinId="8" hidden="1"/>
    <cellStyle name="Hyperlink" xfId="557" builtinId="8" hidden="1"/>
    <cellStyle name="Hyperlink" xfId="605" builtinId="8" hidden="1"/>
    <cellStyle name="Hyperlink" xfId="511" builtinId="8" hidden="1"/>
    <cellStyle name="Hyperlink" xfId="517" builtinId="8" hidden="1"/>
    <cellStyle name="Hyperlink" xfId="519" builtinId="8" hidden="1"/>
    <cellStyle name="Hyperlink" xfId="254" builtinId="8" hidden="1"/>
    <cellStyle name="Hyperlink" xfId="236" builtinId="8" hidden="1"/>
    <cellStyle name="Hyperlink" xfId="338" builtinId="8" hidden="1"/>
    <cellStyle name="Hyperlink" xfId="529" builtinId="8" hidden="1"/>
    <cellStyle name="Hyperlink" xfId="521" builtinId="8" hidden="1"/>
    <cellStyle name="Hyperlink" xfId="379" builtinId="8" hidden="1"/>
    <cellStyle name="Hyperlink" xfId="547" builtinId="8" hidden="1"/>
    <cellStyle name="Hyperlink" xfId="93" builtinId="8" hidden="1"/>
    <cellStyle name="Hyperlink" xfId="535" builtinId="8" hidden="1"/>
    <cellStyle name="Hyperlink" xfId="310" builtinId="8" hidden="1"/>
    <cellStyle name="Hyperlink" xfId="571" builtinId="8" hidden="1"/>
    <cellStyle name="Hyperlink" xfId="137" builtinId="8" hidden="1"/>
    <cellStyle name="Hyperlink" xfId="177" builtinId="8" hidden="1"/>
    <cellStyle name="Hyperlink" xfId="555" builtinId="8" hidden="1"/>
    <cellStyle name="Hyperlink" xfId="346" builtinId="8" hidden="1"/>
    <cellStyle name="Hyperlink" xfId="123" builtinId="8" hidden="1"/>
    <cellStyle name="Hyperlink" xfId="41" builtinId="8" hidden="1"/>
    <cellStyle name="Hyperlink" xfId="5" builtinId="8" hidden="1"/>
    <cellStyle name="Hyperlink" xfId="252" builtinId="8" hidden="1"/>
    <cellStyle name="Hyperlink" xfId="290" builtinId="8" hidden="1"/>
    <cellStyle name="Hyperlink" xfId="59" builtinId="8" hidden="1"/>
    <cellStyle name="Hyperlink" xfId="583" builtinId="8" hidden="1"/>
    <cellStyle name="Hyperlink" xfId="342" builtinId="8" hidden="1"/>
    <cellStyle name="Hyperlink" xfId="210" builtinId="8" hidden="1"/>
    <cellStyle name="Hyperlink" xfId="276" builtinId="8" hidden="1"/>
    <cellStyle name="Hyperlink" xfId="222" builtinId="8" hidden="1"/>
    <cellStyle name="Hyperlink" xfId="622" builtinId="8" hidden="1"/>
    <cellStyle name="Hyperlink" xfId="595" builtinId="8" hidden="1"/>
    <cellStyle name="Hyperlink" xfId="240" builtinId="8" hidden="1"/>
    <cellStyle name="Hyperlink" xfId="75" builtinId="8" hidden="1"/>
    <cellStyle name="Hyperlink" xfId="129" builtinId="8" hidden="1"/>
    <cellStyle name="Hyperlink" xfId="527" builtinId="8" hidden="1"/>
    <cellStyle name="Hyperlink" xfId="19" builtinId="8" hidden="1"/>
    <cellStyle name="Hyperlink" xfId="262" builtinId="8" hidden="1"/>
    <cellStyle name="Hyperlink" xfId="620" builtinId="8" hidden="1"/>
    <cellStyle name="Hyperlink" xfId="196" builtinId="8" hidden="1"/>
    <cellStyle name="Hyperlink" xfId="57" builtinId="8" hidden="1"/>
    <cellStyle name="Hyperlink" xfId="577" builtinId="8" hidden="1"/>
    <cellStyle name="Hyperlink" xfId="543" builtinId="8" hidden="1"/>
    <cellStyle name="Hyperlink" xfId="214" builtinId="8" hidden="1"/>
    <cellStyle name="Hyperlink" xfId="79" builtinId="8" hidden="1"/>
    <cellStyle name="Hyperlink" xfId="95" builtinId="8" hidden="1"/>
    <cellStyle name="Hyperlink" xfId="1" builtinId="8" hidden="1"/>
    <cellStyle name="Hyperlink" xfId="509" builtinId="8" hidden="1"/>
    <cellStyle name="Hyperlink" xfId="153" builtinId="8" hidden="1"/>
    <cellStyle name="Hyperlink" xfId="248" builtinId="8" hidden="1"/>
    <cellStyle name="Hyperlink" xfId="328" builtinId="8" hidden="1"/>
    <cellStyle name="Hyperlink" xfId="200" builtinId="8" hidden="1"/>
    <cellStyle name="Hyperlink" xfId="585" builtinId="8" hidden="1"/>
    <cellStyle name="Hyperlink" xfId="300" builtinId="8" hidden="1"/>
    <cellStyle name="Hyperlink" xfId="107" builtinId="8" hidden="1"/>
    <cellStyle name="Hyperlink" xfId="336" builtinId="8" hidden="1"/>
    <cellStyle name="Hyperlink" xfId="77" builtinId="8" hidden="1"/>
    <cellStyle name="Hyperlink" xfId="282" builtinId="8" hidden="1"/>
    <cellStyle name="Hyperlink" xfId="268" builtinId="8" hidden="1"/>
    <cellStyle name="Hyperlink" xfId="17" builtinId="8" hidden="1"/>
    <cellStyle name="Hyperlink" xfId="266" builtinId="8" hidden="1"/>
    <cellStyle name="Hyperlink" xfId="312" builtinId="8" hidden="1"/>
    <cellStyle name="Hyperlink" xfId="230" builtinId="8" hidden="1"/>
    <cellStyle name="Hyperlink" xfId="15" builtinId="8" hidden="1"/>
    <cellStyle name="Hyperlink" xfId="531" builtinId="8" hidden="1"/>
    <cellStyle name="Normal" xfId="0" builtinId="0"/>
    <cellStyle name="Normal 2" xfId="607"/>
    <cellStyle name="Normal 2 2" xfId="619"/>
    <cellStyle name="Normal 3" xfId="624"/>
    <cellStyle name="Percent 2" xfId="608"/>
    <cellStyle name="Percent 2 2" xfId="625"/>
  </cellStyles>
  <dxfs count="8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/>
        <bottom/>
      </border>
      <protection locked="1" hidden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/>
        <right style="hair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6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6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hair">
          <color auto="1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6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hair">
          <color auto="1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6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hair">
          <color auto="1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6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hair">
          <color auto="1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6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165" formatCode="m/d/yy"/>
      <alignment vertical="center" textRotation="0" wrapText="0" justifyLastLine="0" shrinkToFit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/>
        <bottom/>
      </border>
      <protection locked="1" hidden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/>
        <bottom/>
      </border>
      <protection locked="1" hidden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0.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medium">
          <color auto="1"/>
        </top>
        <bottom style="medium">
          <color auto="1"/>
        </bottom>
        <vertical/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i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164" formatCode="0.0"/>
      <alignment horizontal="center" vertical="center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/>
        <bottom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hair">
          <color auto="1"/>
        </right>
        <top/>
        <bottom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B050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strike val="0"/>
        <outline val="0"/>
        <shadow val="0"/>
        <u val="none"/>
        <vertAlign val="baseline"/>
        <sz val="11"/>
        <color theme="6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strike val="0"/>
        <outline val="0"/>
        <shadow val="0"/>
        <u val="none"/>
        <vertAlign val="baseline"/>
        <sz val="11"/>
        <color theme="6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strike val="0"/>
        <outline val="0"/>
        <shadow val="0"/>
        <u val="none"/>
        <vertAlign val="baseline"/>
        <sz val="11"/>
        <color theme="6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6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strike val="0"/>
        <outline val="0"/>
        <shadow val="0"/>
        <u val="none"/>
        <vertAlign val="baseline"/>
        <sz val="11"/>
        <color theme="6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strike val="0"/>
        <outline val="0"/>
        <shadow val="0"/>
        <u val="none"/>
        <vertAlign val="baseline"/>
        <sz val="11"/>
        <color theme="6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strike val="0"/>
        <outline val="0"/>
        <shadow val="0"/>
        <u val="none"/>
        <vertAlign val="baseline"/>
        <sz val="11"/>
        <color theme="6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6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strike val="0"/>
        <outline val="0"/>
        <shadow val="0"/>
        <u val="none"/>
        <vertAlign val="baseline"/>
        <sz val="11"/>
        <color theme="6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strike val="0"/>
        <outline val="0"/>
        <shadow val="0"/>
        <u val="none"/>
        <vertAlign val="baseline"/>
        <sz val="11"/>
        <color theme="6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strike val="0"/>
        <outline val="0"/>
        <shadow val="0"/>
        <u val="none"/>
        <vertAlign val="baseline"/>
        <sz val="11"/>
        <color theme="6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9" formatCode="dd/mm/yyyy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9" formatCode="dd/mm/yyyy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165" formatCode="m/d/yy"/>
      <alignment vertical="center" textRotation="0" wrapText="0" justifyLastLine="0" shrinkToFit="0"/>
      <border diagonalUp="0" diagonalDown="0">
        <left style="medium">
          <color indexed="64"/>
        </left>
        <right/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center" vertical="center" textRotation="0" wrapText="0" indent="0" justifyLastLine="0" shrinkToFit="0" readingOrder="0"/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 val="0"/>
        <i/>
        <color theme="5"/>
      </font>
      <fill>
        <patternFill patternType="none">
          <bgColor auto="1"/>
        </patternFill>
      </fill>
    </dxf>
    <dxf>
      <font>
        <b val="0"/>
        <i/>
        <color theme="5"/>
      </font>
      <fill>
        <patternFill patternType="none">
          <bgColor auto="1"/>
        </patternFill>
      </fill>
    </dxf>
    <dxf>
      <font>
        <b val="0"/>
        <i/>
        <color theme="5"/>
      </font>
      <fill>
        <patternFill patternType="none">
          <bgColor auto="1"/>
        </patternFill>
      </fill>
    </dxf>
    <dxf>
      <font>
        <b val="0"/>
        <i/>
        <color theme="5"/>
      </font>
      <fill>
        <patternFill patternType="none">
          <bgColor auto="1"/>
        </patternFill>
      </fill>
    </dxf>
    <dxf>
      <font>
        <b val="0"/>
        <i/>
        <color theme="5"/>
      </font>
      <fill>
        <patternFill patternType="none">
          <bgColor auto="1"/>
        </patternFill>
      </fill>
    </dxf>
    <dxf>
      <font>
        <b val="0"/>
        <i/>
        <color theme="5"/>
      </font>
      <fill>
        <patternFill patternType="none">
          <bgColor auto="1"/>
        </patternFill>
      </fill>
    </dxf>
    <dxf>
      <border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border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ill>
        <patternFill patternType="solid">
          <fgColor indexed="64"/>
          <bgColor theme="5" tint="0.39997558519241921"/>
        </patternFill>
      </fill>
    </dxf>
    <dxf>
      <font>
        <color theme="0"/>
      </font>
      <fill>
        <patternFill patternType="solid">
          <fgColor indexed="64"/>
          <bgColor theme="5" tint="-0.249977111117893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solid">
          <fgColor indexed="64"/>
          <bgColor theme="5" tint="-0.249977111117893"/>
        </patternFill>
      </fill>
    </dxf>
  </dxfs>
  <tableStyles count="1" defaultTableStyle="TableStyleMedium9" defaultPivotStyle="PivotStyleMedium4">
    <tableStyle name="MeetHistory" pivot="0" count="5">
      <tableStyleElement type="headerRow" dxfId="88"/>
      <tableStyleElement type="totalRow" dxfId="87"/>
      <tableStyleElement type="firstColumn" dxfId="86"/>
      <tableStyleElement type="firstRowStripe" dxfId="85"/>
      <tableStyleElement type="secondRowStripe" dxfId="84"/>
    </tableStyle>
  </tableStyles>
  <colors>
    <mruColors>
      <color rgb="FF00C600"/>
      <color rgb="FFF6F1D4"/>
      <color rgb="FFFDF5B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www.dropbox.com/23311642/the%20strength%20athlete/Training%20Programs/_Favorites/TSA_Master_OFFSEAS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UTRITION"/>
      <sheetName val="WEIGHT TRACKING"/>
      <sheetName val="TRAINING"/>
      <sheetName val="TECHNIQUE"/>
      <sheetName val="PLANNER"/>
      <sheetName val="WILKS"/>
      <sheetName val="NOTES"/>
    </sheetNames>
    <sheetDataSet>
      <sheetData sheetId="0">
        <row r="27">
          <cell r="B27">
            <v>10</v>
          </cell>
        </row>
        <row r="29">
          <cell r="B29">
            <v>193.8</v>
          </cell>
        </row>
      </sheetData>
      <sheetData sheetId="1">
        <row r="27">
          <cell r="B27">
            <v>0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tables/table1.xml><?xml version="1.0" encoding="utf-8"?>
<table xmlns="http://schemas.openxmlformats.org/spreadsheetml/2006/main" id="2" name="Table13" displayName="Table13" ref="D6:Y46" headerRowDxfId="77" dataDxfId="75" totalsRowDxfId="73" headerRowBorderDxfId="76" tableBorderDxfId="74">
  <sortState ref="D7:W46">
    <sortCondition descending="1" ref="U7"/>
  </sortState>
  <tableColumns count="22">
    <tableColumn id="1" name="Name" totalsRowLabel="Total" dataDxfId="72" totalsRowDxfId="71"/>
    <tableColumn id="13" name="Column2" dataDxfId="70" totalsRowDxfId="69"/>
    <tableColumn id="11" name="Column1" dataDxfId="68" totalsRowDxfId="67"/>
    <tableColumn id="3" name="BW" dataDxfId="66" totalsRowDxfId="65"/>
    <tableColumn id="5" name="SQ1" totalsRowFunction="max" dataDxfId="64" totalsRowDxfId="63"/>
    <tableColumn id="7" name="SQ2" totalsRowFunction="max" dataDxfId="62" totalsRowDxfId="61"/>
    <tableColumn id="9" name="SQ3" totalsRowFunction="max" dataDxfId="60" totalsRowDxfId="59"/>
    <tableColumn id="6" name="MAXSQ" dataDxfId="58" totalsRowDxfId="57">
      <calculatedColumnFormula>IF(ISBLANK(Table13[[#This Row],[SQ1]]),"",MAX(Table13[[#This Row],[SQ1]:[SQ3]]))</calculatedColumnFormula>
    </tableColumn>
    <tableColumn id="12" name="BP1" totalsRowFunction="max" dataDxfId="56" totalsRowDxfId="55"/>
    <tableColumn id="14" name="BP2" totalsRowFunction="max" dataDxfId="54" totalsRowDxfId="53"/>
    <tableColumn id="16" name="BP3" totalsRowFunction="max" dataDxfId="52" totalsRowDxfId="51"/>
    <tableColumn id="8" name="MAXBN" dataDxfId="50" totalsRowDxfId="49">
      <calculatedColumnFormula>IF(ISBLANK(Table13[[#This Row],[BP1]]),"",MAX(Table13[[#This Row],[BP1]:[BP3]]))</calculatedColumnFormula>
    </tableColumn>
    <tableColumn id="19" name="DL1" totalsRowFunction="max" dataDxfId="48" totalsRowDxfId="47"/>
    <tableColumn id="21" name="DL2" totalsRowFunction="max" dataDxfId="46" totalsRowDxfId="45"/>
    <tableColumn id="23" name="DL3" totalsRowFunction="max" dataDxfId="44" totalsRowDxfId="43"/>
    <tableColumn id="10" name="MAXDL" dataDxfId="42" totalsRowDxfId="41">
      <calculatedColumnFormula>IF(ISBLANK(Table13[[#This Row],[DL1]]),"",MAX(Table13[[#This Row],[DL1]:[DL3]]))</calculatedColumnFormula>
    </tableColumn>
    <tableColumn id="26" name="TOTAL" totalsRowFunction="max" dataDxfId="40" totalsRowDxfId="39">
      <calculatedColumnFormula>IF(ISBLANK(Table13[[#This Row],[BW]]),"",SUM(K7,O7,S7))</calculatedColumnFormula>
    </tableColumn>
    <tableColumn id="29" name="Wilks" dataDxfId="38" totalsRowDxfId="37"/>
    <tableColumn id="27" name="LIFTS COMPLETED" totalsRowFunction="average" dataDxfId="36" totalsRowDxfId="35">
      <calculatedColumnFormula>IF(ISBLANK(Table13[[#This Row],[BW]]),"",9-ISTEXT(Table13[[#This Row],[SQ1]])-ISTEXT(Table13[[#This Row],[SQ2]])-ISTEXT(Table13[[#This Row],[SQ3]])-ISTEXT(Table13[[#This Row],[BP1]])-ISTEXT(Table13[[#This Row],[BP2]])-ISTEXT(Table13[[#This Row],[BP3]])-ISTEXT(Table13[[#This Row],[DL1]])-ISTEXT(Table13[[#This Row],[DL2]])-ISTEXT(Table13[[#This Row],[DL3]]))</calculatedColumnFormula>
    </tableColumn>
    <tableColumn id="2" name="Place" dataDxfId="34" totalsRowDxfId="33"/>
    <tableColumn id="17" name="Column3" dataDxfId="32" totalsRowDxfId="31"/>
    <tableColumn id="18" name="Column4" dataDxfId="30" totalsRowDxfId="29">
      <calculatedColumnFormula>(Table13[[#This Row],[Wilks]]+U8+U10+U11+U12+U13+U14+U17)</calculatedColumnFormula>
    </tableColumn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id="3" name="Table134" displayName="Table134" ref="AJ6:AV35" headerRowDxfId="28" dataDxfId="27" totalsRowDxfId="26">
  <autoFilter ref="AJ6:AV35"/>
  <tableColumns count="13">
    <tableColumn id="1" name="DATE" totalsRowLabel="Total" dataDxfId="25" totalsRowDxfId="24">
      <calculatedColumnFormula>IF(ISBLANK(Table13[[#This Row],[Name]]),"",Table13[[#This Row],[Name]])</calculatedColumnFormula>
    </tableColumn>
    <tableColumn id="3" name="BW" dataDxfId="23" totalsRowDxfId="22">
      <calculatedColumnFormula>IF(AND($AK$4,ISNUMBER(Table13[[#This Row],[BW]])),Table13[[#This Row],[BW]],NA())</calculatedColumnFormula>
    </tableColumn>
    <tableColumn id="2" name="BWMAX" dataDxfId="21" totalsRowDxfId="20">
      <calculatedColumnFormula>IF($AK$4=FALSE,NA(),IF(G7=MAX(G$7:G$46),G7,NA()))</calculatedColumnFormula>
    </tableColumn>
    <tableColumn id="6" name="SQ" dataDxfId="19" totalsRowDxfId="18">
      <calculatedColumnFormula>IF(AND($AM$4,ISNUMBER(Table13[[#This Row],[MAXSQ]])),Table13[[#This Row],[MAXSQ]],NA())</calculatedColumnFormula>
    </tableColumn>
    <tableColumn id="4" name="SQMAX" dataDxfId="17" totalsRowDxfId="16">
      <calculatedColumnFormula>IF($AM$4=FALSE,NA(),IF(K7=MAX(K$7:K$46),K7,NA()))</calculatedColumnFormula>
    </tableColumn>
    <tableColumn id="8" name="BN" dataDxfId="15" totalsRowDxfId="14">
      <calculatedColumnFormula>IF(AND($AO$4,ISNUMBER(Table13[[#This Row],[MAXBN]])),Table13[[#This Row],[MAXBN]],NA())</calculatedColumnFormula>
    </tableColumn>
    <tableColumn id="5" name="BNMAX" dataDxfId="13" totalsRowDxfId="12">
      <calculatedColumnFormula>IF($AO$4=FALSE,NA(),IF(O7=MAX(O$7:O$46),O7,NA()))</calculatedColumnFormula>
    </tableColumn>
    <tableColumn id="10" name="DL" dataDxfId="11" totalsRowDxfId="10">
      <calculatedColumnFormula>IF(AND($AQ$4,ISNUMBER(Table13[[#This Row],[MAXDL]])),Table13[[#This Row],[MAXDL]],NA())</calculatedColumnFormula>
    </tableColumn>
    <tableColumn id="7" name="DLMAX" dataDxfId="9" totalsRowDxfId="8">
      <calculatedColumnFormula>IF($AQ$4=FALSE,NA(),IF(S7=MAX(S$7:S$46),S7,NA()))</calculatedColumnFormula>
    </tableColumn>
    <tableColumn id="26" name="TOTAL" totalsRowFunction="max" dataDxfId="7" totalsRowDxfId="6">
      <calculatedColumnFormula>IF(AND($AS$4,ISNUMBER(Table13[[#This Row],[TOTAL]])),Table13[[#This Row],[TOTAL]],NA())</calculatedColumnFormula>
    </tableColumn>
    <tableColumn id="9" name="TOTMAX" dataDxfId="5" totalsRowDxfId="4">
      <calculatedColumnFormula>IF($AS$4=FALSE,NA(),IF(T7=MAX(T$7:T$46),T7,NA()))</calculatedColumnFormula>
    </tableColumn>
    <tableColumn id="29" name="WILKS" dataDxfId="3" totalsRowDxfId="2">
      <calculatedColumnFormula>IF(AND($AU$4,ISNUMBER(Table13[[#This Row],[Wilks]])),Table13[[#This Row],[Wilks]],NA())</calculatedColumnFormula>
    </tableColumn>
    <tableColumn id="11" name="WILKSMAX" dataDxfId="1" totalsRowDxfId="0">
      <calculatedColumnFormula>IF($AU$4=FALSE,NA(),IF(U7=MAX(U$7:U$46),U7,NA()))</calculatedColumnFormula>
    </tableColumn>
  </tableColumns>
  <tableStyleInfo name="MeetHistory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C1:AV69"/>
  <sheetViews>
    <sheetView showGridLines="0" tabSelected="1" topLeftCell="H4" zoomScale="106" zoomScaleNormal="140" workbookViewId="0">
      <selection activeCell="Y12" sqref="Y12:Y14"/>
    </sheetView>
  </sheetViews>
  <sheetFormatPr defaultColWidth="8.875" defaultRowHeight="15" x14ac:dyDescent="0.25"/>
  <cols>
    <col min="1" max="1" width="0.125" style="3" customWidth="1"/>
    <col min="2" max="2" width="2.5" style="3" customWidth="1"/>
    <col min="3" max="3" width="10.875" style="3" customWidth="1"/>
    <col min="4" max="4" width="19.125" style="4" customWidth="1"/>
    <col min="5" max="5" width="9" style="4" customWidth="1"/>
    <col min="6" max="6" width="10" style="4" customWidth="1"/>
    <col min="7" max="7" width="8" style="5" customWidth="1"/>
    <col min="8" max="8" width="7.375" style="5" customWidth="1"/>
    <col min="9" max="9" width="7.375" style="6" customWidth="1"/>
    <col min="10" max="10" width="6.5" style="5" customWidth="1"/>
    <col min="11" max="11" width="8" style="6" customWidth="1"/>
    <col min="12" max="12" width="6.5" style="5" customWidth="1"/>
    <col min="13" max="13" width="7.625" style="6" customWidth="1"/>
    <col min="14" max="14" width="8.5" style="7" customWidth="1"/>
    <col min="15" max="15" width="6.625" style="5" customWidth="1"/>
    <col min="16" max="16" width="6.625" style="6" customWidth="1"/>
    <col min="17" max="17" width="6.625" style="5" customWidth="1"/>
    <col min="18" max="18" width="6.5" style="6" customWidth="1"/>
    <col min="19" max="19" width="7.5" style="5" customWidth="1"/>
    <col min="20" max="20" width="8" style="6" customWidth="1"/>
    <col min="21" max="21" width="9.125" style="7" customWidth="1"/>
    <col min="22" max="22" width="15.125" style="7" bestFit="1" customWidth="1"/>
    <col min="23" max="23" width="5.125" style="5" bestFit="1" customWidth="1"/>
    <col min="24" max="24" width="23" style="6" customWidth="1"/>
    <col min="25" max="25" width="8.125" style="5" bestFit="1" customWidth="1"/>
    <col min="26" max="26" width="8" style="6" hidden="1" customWidth="1"/>
    <col min="27" max="27" width="6.5" style="5" hidden="1" customWidth="1"/>
    <col min="28" max="28" width="8" style="6" hidden="1" customWidth="1"/>
    <col min="29" max="29" width="6.5" style="7" hidden="1" customWidth="1"/>
    <col min="30" max="30" width="11.125" style="5" hidden="1" customWidth="1"/>
    <col min="31" max="31" width="9.875" style="5" hidden="1" customWidth="1"/>
    <col min="32" max="32" width="9.125" style="3" hidden="1" customWidth="1"/>
    <col min="33" max="33" width="19.875" style="3" hidden="1" customWidth="1"/>
    <col min="34" max="34" width="8.875" style="3" hidden="1" customWidth="1"/>
    <col min="35" max="36" width="10.875" style="8" hidden="1" customWidth="1"/>
    <col min="37" max="40" width="8.875" style="24" hidden="1" customWidth="1"/>
    <col min="41" max="48" width="8.875" style="3" hidden="1" customWidth="1"/>
    <col min="49" max="16384" width="8.875" style="3"/>
  </cols>
  <sheetData>
    <row r="1" spans="3:48" ht="20.100000000000001" customHeight="1" x14ac:dyDescent="0.25">
      <c r="AK1" s="8"/>
      <c r="AL1" s="8"/>
      <c r="AM1" s="8"/>
      <c r="AN1" s="8"/>
    </row>
    <row r="2" spans="3:48" ht="20.100000000000001" customHeight="1" x14ac:dyDescent="0.25">
      <c r="AK2" s="8"/>
      <c r="AL2" s="8"/>
      <c r="AM2" s="8"/>
      <c r="AN2" s="8"/>
    </row>
    <row r="3" spans="3:48" ht="26.1" customHeight="1" x14ac:dyDescent="0.25">
      <c r="C3" s="9"/>
      <c r="D3" s="88" t="s">
        <v>42</v>
      </c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  <c r="W3" s="88"/>
      <c r="AI3" s="3"/>
      <c r="AJ3" s="3"/>
      <c r="AK3" s="3"/>
      <c r="AL3" s="3"/>
      <c r="AM3" s="3"/>
      <c r="AN3" s="3"/>
    </row>
    <row r="4" spans="3:48" ht="13.35" customHeight="1" x14ac:dyDescent="0.25">
      <c r="D4" s="1"/>
      <c r="E4" s="1"/>
      <c r="F4" s="1"/>
      <c r="AI4" s="10"/>
      <c r="AJ4" s="10"/>
      <c r="AK4" s="5" t="b">
        <f>IF(ISNUMBER(MATCH("Bodyweight",#REF!,0)), TRUE, FALSE)</f>
        <v>0</v>
      </c>
      <c r="AL4" s="5"/>
      <c r="AM4" s="5" t="b">
        <f>IF(ISNUMBER(MATCH("Squat",#REF!,0)), TRUE, FALSE)</f>
        <v>0</v>
      </c>
      <c r="AN4" s="5"/>
      <c r="AO4" s="5" t="b">
        <f>IF(ISNUMBER(MATCH("Bench Press",#REF!,0)), TRUE, FALSE)</f>
        <v>0</v>
      </c>
      <c r="AP4" s="6"/>
      <c r="AQ4" s="5" t="b">
        <f>IF(ISNUMBER(MATCH("Deadlift",#REF!,0)), TRUE, FALSE)</f>
        <v>0</v>
      </c>
      <c r="AR4" s="6"/>
      <c r="AS4" s="5" t="b">
        <f>IF(ISNUMBER(MATCH("Total",#REF!,0)), TRUE, FALSE)</f>
        <v>0</v>
      </c>
      <c r="AT4" s="7"/>
      <c r="AU4" s="5" t="b">
        <f>IF(ISNUMBER(MATCH("Wilks",#REF!,0)), TRUE, FALSE)</f>
        <v>0</v>
      </c>
      <c r="AV4" s="5"/>
    </row>
    <row r="5" spans="3:48" ht="13.35" customHeight="1" thickBot="1" x14ac:dyDescent="0.3">
      <c r="D5" s="11"/>
      <c r="E5" s="11"/>
      <c r="F5" s="11"/>
      <c r="G5" s="12"/>
      <c r="I5" s="13"/>
      <c r="J5" s="12"/>
      <c r="K5" s="13"/>
      <c r="L5" s="12"/>
      <c r="M5" s="13"/>
      <c r="P5" s="13"/>
      <c r="R5" s="13"/>
      <c r="T5" s="13"/>
      <c r="X5" s="13"/>
      <c r="Y5" s="12"/>
      <c r="Z5" s="13"/>
      <c r="AA5" s="12"/>
      <c r="AB5" s="13"/>
      <c r="AC5" s="89">
        <f>W3</f>
        <v>0</v>
      </c>
      <c r="AD5" s="90"/>
      <c r="AF5" s="91" t="s">
        <v>7</v>
      </c>
      <c r="AG5" s="92"/>
      <c r="AH5" s="93"/>
      <c r="AI5" s="14"/>
      <c r="AJ5" s="14"/>
      <c r="AK5" s="5">
        <f>COUNTIF(AK6:AK35,"&gt;0")</f>
        <v>0</v>
      </c>
      <c r="AL5" s="5"/>
      <c r="AM5" s="5">
        <f>COUNTIF(AM6:AM35,"&gt;0")</f>
        <v>0</v>
      </c>
      <c r="AN5" s="5"/>
      <c r="AO5" s="5">
        <f>COUNTIF(AO6:AO35,"&gt;0")</f>
        <v>0</v>
      </c>
      <c r="AP5" s="5"/>
      <c r="AQ5" s="5">
        <f>COUNTIF(AQ6:AQ35,"&gt;0")</f>
        <v>0</v>
      </c>
      <c r="AR5" s="5"/>
      <c r="AS5" s="5">
        <f>COUNTIF(AS6:AS35,"&gt;0")</f>
        <v>0</v>
      </c>
      <c r="AT5" s="5"/>
      <c r="AU5" s="5">
        <f>COUNTIF(AU6:AU35,"&gt;0")</f>
        <v>0</v>
      </c>
      <c r="AV5" s="5"/>
    </row>
    <row r="6" spans="3:48" s="15" customFormat="1" ht="15.75" thickBot="1" x14ac:dyDescent="0.3">
      <c r="D6" s="45" t="s">
        <v>41</v>
      </c>
      <c r="E6" s="47" t="s">
        <v>54</v>
      </c>
      <c r="F6" s="47" t="s">
        <v>47</v>
      </c>
      <c r="G6" s="46" t="s">
        <v>5</v>
      </c>
      <c r="H6" s="45" t="s">
        <v>8</v>
      </c>
      <c r="I6" s="47" t="s">
        <v>9</v>
      </c>
      <c r="J6" s="47" t="s">
        <v>10</v>
      </c>
      <c r="K6" s="50" t="s">
        <v>11</v>
      </c>
      <c r="L6" s="45" t="s">
        <v>12</v>
      </c>
      <c r="M6" s="47" t="s">
        <v>13</v>
      </c>
      <c r="N6" s="47" t="s">
        <v>14</v>
      </c>
      <c r="O6" s="50" t="s">
        <v>15</v>
      </c>
      <c r="P6" s="45" t="s">
        <v>16</v>
      </c>
      <c r="Q6" s="47" t="s">
        <v>17</v>
      </c>
      <c r="R6" s="47" t="s">
        <v>18</v>
      </c>
      <c r="S6" s="46" t="s">
        <v>19</v>
      </c>
      <c r="T6" s="47" t="s">
        <v>20</v>
      </c>
      <c r="U6" s="47" t="s">
        <v>6</v>
      </c>
      <c r="V6" s="47" t="s">
        <v>21</v>
      </c>
      <c r="W6" s="53" t="s">
        <v>45</v>
      </c>
      <c r="X6" s="84" t="s">
        <v>66</v>
      </c>
      <c r="Y6" s="84" t="s">
        <v>112</v>
      </c>
      <c r="Z6" s="16" t="s">
        <v>22</v>
      </c>
      <c r="AA6" s="16" t="s">
        <v>23</v>
      </c>
      <c r="AB6" s="17" t="s">
        <v>6</v>
      </c>
      <c r="AC6" s="18" t="s">
        <v>24</v>
      </c>
      <c r="AD6" s="18" t="e">
        <f>#REF!</f>
        <v>#REF!</v>
      </c>
      <c r="AE6" s="3"/>
      <c r="AF6" s="18" t="s">
        <v>25</v>
      </c>
      <c r="AG6" s="18" t="s">
        <v>26</v>
      </c>
      <c r="AH6" s="18" t="s">
        <v>27</v>
      </c>
      <c r="AJ6" s="19" t="s">
        <v>3</v>
      </c>
      <c r="AK6" s="20" t="s">
        <v>5</v>
      </c>
      <c r="AL6" s="20" t="s">
        <v>28</v>
      </c>
      <c r="AM6" s="20" t="s">
        <v>1</v>
      </c>
      <c r="AN6" s="20" t="s">
        <v>29</v>
      </c>
      <c r="AO6" s="20" t="s">
        <v>0</v>
      </c>
      <c r="AP6" s="20" t="s">
        <v>30</v>
      </c>
      <c r="AQ6" s="20" t="s">
        <v>2</v>
      </c>
      <c r="AR6" s="20" t="s">
        <v>31</v>
      </c>
      <c r="AS6" s="20" t="s">
        <v>20</v>
      </c>
      <c r="AT6" s="20" t="s">
        <v>32</v>
      </c>
      <c r="AU6" s="20" t="s">
        <v>4</v>
      </c>
      <c r="AV6" s="20" t="s">
        <v>33</v>
      </c>
    </row>
    <row r="7" spans="3:48" s="21" customFormat="1" ht="15" customHeight="1" x14ac:dyDescent="0.25">
      <c r="D7" s="61" t="s">
        <v>81</v>
      </c>
      <c r="E7" s="74" t="s">
        <v>60</v>
      </c>
      <c r="F7" s="74" t="s">
        <v>49</v>
      </c>
      <c r="G7" s="62">
        <v>102.7</v>
      </c>
      <c r="H7" s="63">
        <v>265</v>
      </c>
      <c r="I7" s="64">
        <v>275</v>
      </c>
      <c r="J7" s="65">
        <v>280</v>
      </c>
      <c r="K7" s="55">
        <f>IF(ISBLANK(Table13[[#This Row],[SQ1]]),"",MAX(Table13[[#This Row],[SQ1]:[SQ3]]))</f>
        <v>280</v>
      </c>
      <c r="L7" s="40">
        <v>165</v>
      </c>
      <c r="M7" s="2">
        <v>172.5</v>
      </c>
      <c r="N7" s="48">
        <v>177.5</v>
      </c>
      <c r="O7" s="51">
        <f>IF(ISBLANK(Table13[[#This Row],[BP1]]),"",MAX(Table13[[#This Row],[BP1]:[BP3]]))</f>
        <v>177.5</v>
      </c>
      <c r="P7" s="40">
        <v>285</v>
      </c>
      <c r="Q7" s="2">
        <v>310</v>
      </c>
      <c r="R7" s="2">
        <v>330</v>
      </c>
      <c r="S7" s="43">
        <f>IF(ISBLANK(Table13[[#This Row],[DL1]]),"",MAX(Table13[[#This Row],[DL1]:[DL3]]))</f>
        <v>330</v>
      </c>
      <c r="T7" s="26">
        <f>IF(ISBLANK(Table13[[#This Row],[BW]]),"",SUM(K7,O7,S7))</f>
        <v>787.5</v>
      </c>
      <c r="U7" s="80">
        <v>474.36</v>
      </c>
      <c r="V7" s="39">
        <f>IF(ISBLANK(Table13[[#This Row],[BW]]),"",9-ISTEXT(Table13[[#This Row],[SQ1]])-ISTEXT(Table13[[#This Row],[SQ2]])-ISTEXT(Table13[[#This Row],[SQ3]])-ISTEXT(Table13[[#This Row],[BP1]])-ISTEXT(Table13[[#This Row],[BP2]])-ISTEXT(Table13[[#This Row],[BP3]])-ISTEXT(Table13[[#This Row],[DL1]])-ISTEXT(Table13[[#This Row],[DL2]])-ISTEXT(Table13[[#This Row],[DL3]]))</f>
        <v>9</v>
      </c>
      <c r="W7" s="54">
        <v>1</v>
      </c>
      <c r="X7" s="82" t="s">
        <v>110</v>
      </c>
      <c r="Y7" s="85">
        <f>(474.4+U10+U16+U17+U20+U22+U25+U26)</f>
        <v>3170.33</v>
      </c>
      <c r="Z7" s="8" t="e">
        <f>IF(Table13[[#This Row],[BW]]="","",500/($AD$7+$AD$8*AB7+$AD$9*AB7^2+$AD$10*AB7^3+$AD$11*AB7^4+$AD$12*AB7^5))</f>
        <v>#REF!</v>
      </c>
      <c r="AA7" s="23">
        <f>IF(Table13[[#This Row],[BW]]="","",SUM(K7,O7,S7)*$AD$14)</f>
        <v>787.5</v>
      </c>
      <c r="AB7" s="24">
        <f>IF(Table13[[#This Row],[BW]]="","",Table13[[#This Row],[BW]]*$AD$14)</f>
        <v>102.7</v>
      </c>
      <c r="AC7" s="18" t="s">
        <v>34</v>
      </c>
      <c r="AD7" s="25" t="e">
        <f t="shared" ref="AD7:AD12" si="0">HLOOKUP($AD$6,$AF$6:$AH$12,$AF7,FALSE)</f>
        <v>#REF!</v>
      </c>
      <c r="AE7" s="3"/>
      <c r="AF7" s="18">
        <v>2</v>
      </c>
      <c r="AG7" s="25">
        <v>-216.04751440000001</v>
      </c>
      <c r="AH7" s="25">
        <v>594.31747775582005</v>
      </c>
      <c r="AJ7" s="28" t="str">
        <f>IF(ISBLANK(Table13[[#This Row],[Name]]),"",Table13[[#This Row],[Name]])</f>
        <v>Aaron Hegedus</v>
      </c>
      <c r="AK7" s="27" t="e">
        <f>IF(AND($AK$4,ISNUMBER(Table13[[#This Row],[BW]])),Table13[[#This Row],[BW]],NA())</f>
        <v>#N/A</v>
      </c>
      <c r="AL7" s="29" t="e">
        <f t="shared" ref="AL7:AL35" si="1">IF($AK$4=FALSE,NA(),IF(G7=MAX(G$7:G$35),G7,NA()))</f>
        <v>#N/A</v>
      </c>
      <c r="AM7" s="30" t="e">
        <f>IF(AND($AM$4,ISNUMBER(Table13[[#This Row],[MAXSQ]])),Table13[[#This Row],[MAXSQ]],NA())</f>
        <v>#N/A</v>
      </c>
      <c r="AN7" s="30" t="e">
        <f t="shared" ref="AN7:AN35" si="2">IF($AM$4=FALSE,NA(),IF(K7=MAX(K$7:K$35),K7,NA()))</f>
        <v>#N/A</v>
      </c>
      <c r="AO7" s="30" t="e">
        <f>IF(AND($AO$4,ISNUMBER(Table13[[#This Row],[MAXBN]])),Table13[[#This Row],[MAXBN]],NA())</f>
        <v>#N/A</v>
      </c>
      <c r="AP7" s="30" t="e">
        <f t="shared" ref="AP7:AP35" si="3">IF($AO$4=FALSE,NA(),IF(O7=MAX(O$7:O$35),O7,NA()))</f>
        <v>#N/A</v>
      </c>
      <c r="AQ7" s="30" t="e">
        <f>IF(AND($AQ$4,ISNUMBER(Table13[[#This Row],[MAXDL]])),Table13[[#This Row],[MAXDL]],NA())</f>
        <v>#N/A</v>
      </c>
      <c r="AR7" s="30" t="e">
        <f t="shared" ref="AR7:AR35" si="4">IF($AQ$4=FALSE,NA(),IF(S7=MAX(S$7:S$35),S7,NA()))</f>
        <v>#N/A</v>
      </c>
      <c r="AS7" s="31" t="e">
        <f>IF(AND($AS$4,ISNUMBER(Table13[[#This Row],[TOTAL]])),Table13[[#This Row],[TOTAL]],NA())</f>
        <v>#N/A</v>
      </c>
      <c r="AT7" s="29" t="e">
        <f t="shared" ref="AT7:AT35" si="5">IF($AS$4=FALSE,NA(),IF(T7=MAX(T$7:T$35),T7,NA()))</f>
        <v>#N/A</v>
      </c>
      <c r="AU7" s="32" t="e">
        <f>IF(AND($AU$4,ISNUMBER(Table13[[#This Row],[Wilks]])),Table13[[#This Row],[Wilks]],NA())</f>
        <v>#N/A</v>
      </c>
      <c r="AV7" s="32" t="e">
        <f t="shared" ref="AV7:AV35" si="6">IF($AU$4=FALSE,NA(),IF(U7=MAX(U$7:U$35),U7,NA()))</f>
        <v>#N/A</v>
      </c>
    </row>
    <row r="8" spans="3:48" s="21" customFormat="1" ht="15" customHeight="1" x14ac:dyDescent="0.25">
      <c r="D8" s="61" t="s">
        <v>70</v>
      </c>
      <c r="E8" s="74" t="s">
        <v>60</v>
      </c>
      <c r="F8" s="74" t="s">
        <v>48</v>
      </c>
      <c r="G8" s="62">
        <v>84.3</v>
      </c>
      <c r="H8" s="63">
        <v>215</v>
      </c>
      <c r="I8" s="64">
        <v>230</v>
      </c>
      <c r="J8" s="65">
        <v>240</v>
      </c>
      <c r="K8" s="55">
        <f>IF(ISBLANK(Table13[[#This Row],[SQ1]]),"",MAX(Table13[[#This Row],[SQ1]:[SQ3]]))</f>
        <v>240</v>
      </c>
      <c r="L8" s="63">
        <v>147.5</v>
      </c>
      <c r="M8" s="64">
        <v>155</v>
      </c>
      <c r="N8" s="65">
        <v>162.5</v>
      </c>
      <c r="O8" s="55">
        <f>IF(ISBLANK(Table13[[#This Row],[BP1]]),"",MAX(Table13[[#This Row],[BP1]:[BP3]]))</f>
        <v>162.5</v>
      </c>
      <c r="P8" s="63">
        <v>270</v>
      </c>
      <c r="Q8" s="64">
        <v>290</v>
      </c>
      <c r="R8" s="64">
        <v>300</v>
      </c>
      <c r="S8" s="56">
        <f>IF(ISBLANK(Table13[[#This Row],[DL1]]),"",MAX(Table13[[#This Row],[DL1]:[DL3]]))</f>
        <v>300</v>
      </c>
      <c r="T8" s="57">
        <f>IF(ISBLANK(Table13[[#This Row],[BW]]),"",SUM(K8,O8,S8))</f>
        <v>702.5</v>
      </c>
      <c r="U8" s="81">
        <v>464.68</v>
      </c>
      <c r="V8" s="59">
        <f>IF(ISBLANK(Table13[[#This Row],[BW]]),"",9-ISTEXT(Table13[[#This Row],[SQ1]])-ISTEXT(Table13[[#This Row],[SQ2]])-ISTEXT(Table13[[#This Row],[SQ3]])-ISTEXT(Table13[[#This Row],[BP1]])-ISTEXT(Table13[[#This Row],[BP2]])-ISTEXT(Table13[[#This Row],[BP3]])-ISTEXT(Table13[[#This Row],[DL1]])-ISTEXT(Table13[[#This Row],[DL2]])-ISTEXT(Table13[[#This Row],[DL3]]))</f>
        <v>9</v>
      </c>
      <c r="W8" s="60" t="s">
        <v>34</v>
      </c>
      <c r="X8" s="82" t="s">
        <v>111</v>
      </c>
      <c r="Y8" s="85">
        <f>(464.7+U9+U11+U12+U13+U14+U15+U18)</f>
        <v>3315.81</v>
      </c>
      <c r="Z8" s="8" t="e">
        <f>IF(Table13[[#This Row],[BW]]="","",500/($AD$7+$AD$8*AB8+$AD$9*AB8^2+$AD$10*AB8^3+$AD$11*AB8^4+$AD$12*AB8^5))</f>
        <v>#REF!</v>
      </c>
      <c r="AA8" s="23">
        <f>IF(Table13[[#This Row],[BW]]="","",SUM(K8,O8,S8)*$AD$14)</f>
        <v>702.5</v>
      </c>
      <c r="AB8" s="24">
        <f>IF(Table13[[#This Row],[BW]]="","",Table13[[#This Row],[BW]]*$AD$14)</f>
        <v>84.3</v>
      </c>
      <c r="AC8" s="18" t="s">
        <v>35</v>
      </c>
      <c r="AD8" s="25" t="e">
        <f t="shared" si="0"/>
        <v>#REF!</v>
      </c>
      <c r="AE8" s="3"/>
      <c r="AF8" s="18">
        <v>3</v>
      </c>
      <c r="AG8" s="25">
        <v>16.260633899999998</v>
      </c>
      <c r="AH8" s="25">
        <v>-27.23842536447</v>
      </c>
      <c r="AJ8" s="28" t="str">
        <f>IF(ISBLANK(Table13[[#This Row],[Name]]),"",Table13[[#This Row],[Name]])</f>
        <v>Salman Khan</v>
      </c>
      <c r="AK8" s="27" t="e">
        <f>IF(AND($AK$4,ISNUMBER(Table13[[#This Row],[BW]])),Table13[[#This Row],[BW]],NA())</f>
        <v>#N/A</v>
      </c>
      <c r="AL8" s="29" t="e">
        <f t="shared" si="1"/>
        <v>#N/A</v>
      </c>
      <c r="AM8" s="30" t="e">
        <f>IF(AND($AM$4,ISNUMBER(Table13[[#This Row],[MAXSQ]])),Table13[[#This Row],[MAXSQ]],NA())</f>
        <v>#N/A</v>
      </c>
      <c r="AN8" s="30" t="e">
        <f t="shared" si="2"/>
        <v>#N/A</v>
      </c>
      <c r="AO8" s="30" t="e">
        <f>IF(AND($AO$4,ISNUMBER(Table13[[#This Row],[MAXBN]])),Table13[[#This Row],[MAXBN]],NA())</f>
        <v>#N/A</v>
      </c>
      <c r="AP8" s="30" t="e">
        <f t="shared" si="3"/>
        <v>#N/A</v>
      </c>
      <c r="AQ8" s="30" t="e">
        <f>IF(AND($AQ$4,ISNUMBER(Table13[[#This Row],[MAXDL]])),Table13[[#This Row],[MAXDL]],NA())</f>
        <v>#N/A</v>
      </c>
      <c r="AR8" s="30" t="e">
        <f t="shared" si="4"/>
        <v>#N/A</v>
      </c>
      <c r="AS8" s="31" t="e">
        <f>IF(AND($AS$4,ISNUMBER(Table13[[#This Row],[TOTAL]])),Table13[[#This Row],[TOTAL]],NA())</f>
        <v>#N/A</v>
      </c>
      <c r="AT8" s="29" t="e">
        <f t="shared" si="5"/>
        <v>#N/A</v>
      </c>
      <c r="AU8" s="32" t="e">
        <f>IF(AND($AU$4,ISNUMBER(Table13[[#This Row],[Wilks]])),Table13[[#This Row],[Wilks]],NA())</f>
        <v>#N/A</v>
      </c>
      <c r="AV8" s="32" t="e">
        <f t="shared" si="6"/>
        <v>#N/A</v>
      </c>
    </row>
    <row r="9" spans="3:48" s="21" customFormat="1" ht="15" customHeight="1" x14ac:dyDescent="0.25">
      <c r="D9" s="61" t="s">
        <v>43</v>
      </c>
      <c r="E9" s="74" t="s">
        <v>60</v>
      </c>
      <c r="F9" s="74" t="s">
        <v>48</v>
      </c>
      <c r="G9" s="62">
        <v>79.400000000000006</v>
      </c>
      <c r="H9" s="63">
        <v>180</v>
      </c>
      <c r="I9" s="64">
        <v>190</v>
      </c>
      <c r="J9" s="65">
        <v>200</v>
      </c>
      <c r="K9" s="55">
        <f>IF(ISBLANK(Table13[[#This Row],[SQ1]]),"",MAX(Table13[[#This Row],[SQ1]:[SQ3]]))</f>
        <v>200</v>
      </c>
      <c r="L9" s="63">
        <v>140</v>
      </c>
      <c r="M9" s="64">
        <v>150</v>
      </c>
      <c r="N9" s="65">
        <v>155</v>
      </c>
      <c r="O9" s="55">
        <f>IF(ISBLANK(Table13[[#This Row],[BP1]]),"",MAX(Table13[[#This Row],[BP1]:[BP3]]))</f>
        <v>155</v>
      </c>
      <c r="P9" s="63">
        <v>245</v>
      </c>
      <c r="Q9" s="64">
        <v>260</v>
      </c>
      <c r="R9" s="64">
        <v>270</v>
      </c>
      <c r="S9" s="56">
        <f>IF(ISBLANK(Table13[[#This Row],[DL1]]),"",MAX(Table13[[#This Row],[DL1]:[DL3]]))</f>
        <v>270</v>
      </c>
      <c r="T9" s="57">
        <f>IF(ISBLANK(Table13[[#This Row],[BW]]),"",SUM(K9,O9,S9))</f>
        <v>625</v>
      </c>
      <c r="U9" s="81">
        <v>428.73</v>
      </c>
      <c r="V9" s="59">
        <f>IF(ISBLANK(Table13[[#This Row],[BW]]),"",9-ISTEXT(Table13[[#This Row],[SQ1]])-ISTEXT(Table13[[#This Row],[SQ2]])-ISTEXT(Table13[[#This Row],[SQ3]])-ISTEXT(Table13[[#This Row],[BP1]])-ISTEXT(Table13[[#This Row],[BP2]])-ISTEXT(Table13[[#This Row],[BP3]])-ISTEXT(Table13[[#This Row],[DL1]])-ISTEXT(Table13[[#This Row],[DL2]])-ISTEXT(Table13[[#This Row],[DL3]]))</f>
        <v>9</v>
      </c>
      <c r="W9" s="60" t="s">
        <v>35</v>
      </c>
      <c r="X9" s="82"/>
      <c r="Y9" s="85"/>
      <c r="Z9" s="8" t="e">
        <f>IF(Table13[[#This Row],[BW]]="","",500/($AD$7+$AD$8*AB9+$AD$9*AB9^2+$AD$10*AB9^3+$AD$11*AB9^4+$AD$12*AB9^5))</f>
        <v>#REF!</v>
      </c>
      <c r="AA9" s="23">
        <f>IF(Table13[[#This Row],[BW]]="","",SUM(K9,O9,S9)*$AD$14)</f>
        <v>625</v>
      </c>
      <c r="AB9" s="24">
        <f>IF(Table13[[#This Row],[BW]]="","",Table13[[#This Row],[BW]]*$AD$14)</f>
        <v>79.400000000000006</v>
      </c>
      <c r="AC9" s="18" t="s">
        <v>36</v>
      </c>
      <c r="AD9" s="33" t="e">
        <f t="shared" si="0"/>
        <v>#REF!</v>
      </c>
      <c r="AE9" s="3"/>
      <c r="AF9" s="18">
        <v>4</v>
      </c>
      <c r="AG9" s="33">
        <v>-2.388645E-3</v>
      </c>
      <c r="AH9" s="33">
        <v>0.82112226871000005</v>
      </c>
      <c r="AJ9" s="28" t="str">
        <f>IF(ISBLANK(Table13[[#This Row],[Name]]),"",Table13[[#This Row],[Name]])</f>
        <v>Dennis Mubaiwa</v>
      </c>
      <c r="AK9" s="27" t="e">
        <f>IF(AND($AK$4,ISNUMBER(Table13[[#This Row],[BW]])),Table13[[#This Row],[BW]],NA())</f>
        <v>#N/A</v>
      </c>
      <c r="AL9" s="29" t="e">
        <f t="shared" si="1"/>
        <v>#N/A</v>
      </c>
      <c r="AM9" s="30" t="e">
        <f>IF(AND($AM$4,ISNUMBER(Table13[[#This Row],[MAXSQ]])),Table13[[#This Row],[MAXSQ]],NA())</f>
        <v>#N/A</v>
      </c>
      <c r="AN9" s="30" t="e">
        <f t="shared" si="2"/>
        <v>#N/A</v>
      </c>
      <c r="AO9" s="30" t="e">
        <f>IF(AND($AO$4,ISNUMBER(Table13[[#This Row],[MAXBN]])),Table13[[#This Row],[MAXBN]],NA())</f>
        <v>#N/A</v>
      </c>
      <c r="AP9" s="30" t="e">
        <f t="shared" si="3"/>
        <v>#N/A</v>
      </c>
      <c r="AQ9" s="30" t="e">
        <f>IF(AND($AQ$4,ISNUMBER(Table13[[#This Row],[MAXDL]])),Table13[[#This Row],[MAXDL]],NA())</f>
        <v>#N/A</v>
      </c>
      <c r="AR9" s="30" t="e">
        <f t="shared" si="4"/>
        <v>#N/A</v>
      </c>
      <c r="AS9" s="31" t="e">
        <f>IF(AND($AS$4,ISNUMBER(Table13[[#This Row],[TOTAL]])),Table13[[#This Row],[TOTAL]],NA())</f>
        <v>#N/A</v>
      </c>
      <c r="AT9" s="29" t="e">
        <f t="shared" si="5"/>
        <v>#N/A</v>
      </c>
      <c r="AU9" s="32" t="e">
        <f>IF(AND($AU$4,ISNUMBER(Table13[[#This Row],[Wilks]])),Table13[[#This Row],[Wilks]],NA())</f>
        <v>#N/A</v>
      </c>
      <c r="AV9" s="32" t="e">
        <f t="shared" si="6"/>
        <v>#N/A</v>
      </c>
    </row>
    <row r="10" spans="3:48" s="21" customFormat="1" ht="15" customHeight="1" x14ac:dyDescent="0.25">
      <c r="D10" s="61" t="s">
        <v>74</v>
      </c>
      <c r="E10" s="74" t="s">
        <v>60</v>
      </c>
      <c r="F10" s="74" t="s">
        <v>49</v>
      </c>
      <c r="G10" s="62">
        <v>86.4</v>
      </c>
      <c r="H10" s="63">
        <v>210</v>
      </c>
      <c r="I10" s="64">
        <v>220</v>
      </c>
      <c r="J10" s="65">
        <v>230</v>
      </c>
      <c r="K10" s="55">
        <f>IF(ISBLANK(Table13[[#This Row],[SQ1]]),"",MAX(Table13[[#This Row],[SQ1]:[SQ3]]))</f>
        <v>230</v>
      </c>
      <c r="L10" s="63">
        <v>145</v>
      </c>
      <c r="M10" s="64">
        <v>152.5</v>
      </c>
      <c r="N10" s="65">
        <v>157.5</v>
      </c>
      <c r="O10" s="55">
        <f>IF(ISBLANK(Table13[[#This Row],[BP1]]),"",MAX(Table13[[#This Row],[BP1]:[BP3]]))</f>
        <v>157.5</v>
      </c>
      <c r="P10" s="63">
        <v>240</v>
      </c>
      <c r="Q10" s="64">
        <v>255</v>
      </c>
      <c r="R10" s="64" t="s">
        <v>107</v>
      </c>
      <c r="S10" s="56">
        <f>IF(ISBLANK(Table13[[#This Row],[DL1]]),"",MAX(Table13[[#This Row],[DL1]:[DL3]]))</f>
        <v>255</v>
      </c>
      <c r="T10" s="57">
        <f>IF(ISBLANK(Table13[[#This Row],[BW]]),"",SUM(K10,O10,S10))</f>
        <v>642.5</v>
      </c>
      <c r="U10" s="80">
        <v>419.13</v>
      </c>
      <c r="V10" s="59">
        <f>IF(ISBLANK(Table13[[#This Row],[BW]]),"",9-ISTEXT(Table13[[#This Row],[SQ1]])-ISTEXT(Table13[[#This Row],[SQ2]])-ISTEXT(Table13[[#This Row],[SQ3]])-ISTEXT(Table13[[#This Row],[BP1]])-ISTEXT(Table13[[#This Row],[BP2]])-ISTEXT(Table13[[#This Row],[BP3]])-ISTEXT(Table13[[#This Row],[DL1]])-ISTEXT(Table13[[#This Row],[DL2]])-ISTEXT(Table13[[#This Row],[DL3]]))</f>
        <v>8</v>
      </c>
      <c r="W10" s="67">
        <v>2</v>
      </c>
      <c r="X10" s="82"/>
      <c r="Y10" s="85">
        <f>Y8-Y7</f>
        <v>145.48000000000002</v>
      </c>
      <c r="Z10" s="8" t="e">
        <f>IF(Table13[[#This Row],[BW]]="","",500/($AD$7+$AD$8*AB10+$AD$9*AB10^2+$AD$10*AB10^3+$AD$11*AB10^4+$AD$12*AB10^5))</f>
        <v>#REF!</v>
      </c>
      <c r="AA10" s="23">
        <f>IF(Table13[[#This Row],[BW]]="","",SUM(K10,O10,S10)*$AD$14)</f>
        <v>642.5</v>
      </c>
      <c r="AB10" s="24">
        <f>IF(Table13[[#This Row],[BW]]="","",Table13[[#This Row],[BW]]*$AD$14)</f>
        <v>86.4</v>
      </c>
      <c r="AC10" s="18" t="s">
        <v>37</v>
      </c>
      <c r="AD10" s="33" t="e">
        <f t="shared" si="0"/>
        <v>#REF!</v>
      </c>
      <c r="AE10" s="3"/>
      <c r="AF10" s="18">
        <v>5</v>
      </c>
      <c r="AG10" s="33">
        <v>-1.13732E-3</v>
      </c>
      <c r="AH10" s="33">
        <v>-9.3073391299999999E-3</v>
      </c>
      <c r="AJ10" s="28" t="str">
        <f>IF(ISBLANK(Table13[[#This Row],[Name]]),"",Table13[[#This Row],[Name]])</f>
        <v>William Pickering</v>
      </c>
      <c r="AK10" s="27" t="e">
        <f>IF(AND($AK$4,ISNUMBER(Table13[[#This Row],[BW]])),Table13[[#This Row],[BW]],NA())</f>
        <v>#N/A</v>
      </c>
      <c r="AL10" s="29" t="e">
        <f t="shared" si="1"/>
        <v>#N/A</v>
      </c>
      <c r="AM10" s="30" t="e">
        <f>IF(AND($AM$4,ISNUMBER(Table13[[#This Row],[MAXSQ]])),Table13[[#This Row],[MAXSQ]],NA())</f>
        <v>#N/A</v>
      </c>
      <c r="AN10" s="30" t="e">
        <f t="shared" si="2"/>
        <v>#N/A</v>
      </c>
      <c r="AO10" s="30" t="e">
        <f>IF(AND($AO$4,ISNUMBER(Table13[[#This Row],[MAXBN]])),Table13[[#This Row],[MAXBN]],NA())</f>
        <v>#N/A</v>
      </c>
      <c r="AP10" s="30" t="e">
        <f t="shared" si="3"/>
        <v>#N/A</v>
      </c>
      <c r="AQ10" s="30" t="e">
        <f>IF(AND($AQ$4,ISNUMBER(Table13[[#This Row],[MAXDL]])),Table13[[#This Row],[MAXDL]],NA())</f>
        <v>#N/A</v>
      </c>
      <c r="AR10" s="30" t="e">
        <f t="shared" si="4"/>
        <v>#N/A</v>
      </c>
      <c r="AS10" s="31" t="e">
        <f>IF(AND($AS$4,ISNUMBER(Table13[[#This Row],[TOTAL]])),Table13[[#This Row],[TOTAL]],NA())</f>
        <v>#N/A</v>
      </c>
      <c r="AT10" s="29" t="e">
        <f t="shared" si="5"/>
        <v>#N/A</v>
      </c>
      <c r="AU10" s="32" t="e">
        <f>IF(AND($AU$4,ISNUMBER(Table13[[#This Row],[Wilks]])),Table13[[#This Row],[Wilks]],NA())</f>
        <v>#N/A</v>
      </c>
      <c r="AV10" s="32" t="e">
        <f t="shared" si="6"/>
        <v>#N/A</v>
      </c>
    </row>
    <row r="11" spans="3:48" s="21" customFormat="1" ht="15" customHeight="1" x14ac:dyDescent="0.25">
      <c r="D11" s="61" t="s">
        <v>62</v>
      </c>
      <c r="E11" s="74" t="s">
        <v>60</v>
      </c>
      <c r="F11" s="74" t="s">
        <v>48</v>
      </c>
      <c r="G11" s="62">
        <v>66.7</v>
      </c>
      <c r="H11" s="75">
        <v>165</v>
      </c>
      <c r="I11" s="76">
        <v>175</v>
      </c>
      <c r="J11" s="77">
        <v>185</v>
      </c>
      <c r="K11" s="55">
        <f>IF(ISBLANK(Table13[[#This Row],[SQ1]]),"",MAX(Table13[[#This Row],[SQ1]:[SQ3]]))</f>
        <v>185</v>
      </c>
      <c r="L11" s="75">
        <v>112.5</v>
      </c>
      <c r="M11" s="76">
        <v>120</v>
      </c>
      <c r="N11" s="77">
        <v>125</v>
      </c>
      <c r="O11" s="55">
        <f>IF(ISBLANK(Table13[[#This Row],[BP1]]),"",MAX(Table13[[#This Row],[BP1]:[BP3]]))</f>
        <v>125</v>
      </c>
      <c r="P11" s="63">
        <v>200</v>
      </c>
      <c r="Q11" s="64">
        <v>212.5</v>
      </c>
      <c r="R11" s="64">
        <v>222.5</v>
      </c>
      <c r="S11" s="56">
        <f>IF(ISBLANK(Table13[[#This Row],[DL1]]),"",MAX(Table13[[#This Row],[DL1]:[DL3]]))</f>
        <v>222.5</v>
      </c>
      <c r="T11" s="57">
        <f>IF(ISBLANK(Table13[[#This Row],[BW]]),"",SUM(K11,O11,S11))</f>
        <v>532.5</v>
      </c>
      <c r="U11" s="81">
        <v>414.53</v>
      </c>
      <c r="V11" s="59">
        <f>IF(ISBLANK(Table13[[#This Row],[BW]]),"",9-ISTEXT(Table13[[#This Row],[SQ1]])-ISTEXT(Table13[[#This Row],[SQ2]])-ISTEXT(Table13[[#This Row],[SQ3]])-ISTEXT(Table13[[#This Row],[BP1]])-ISTEXT(Table13[[#This Row],[BP2]])-ISTEXT(Table13[[#This Row],[BP3]])-ISTEXT(Table13[[#This Row],[DL1]])-ISTEXT(Table13[[#This Row],[DL2]])-ISTEXT(Table13[[#This Row],[DL3]]))</f>
        <v>9</v>
      </c>
      <c r="W11" s="60" t="s">
        <v>36</v>
      </c>
      <c r="X11" s="82"/>
      <c r="Y11" s="85"/>
      <c r="Z11" s="8" t="e">
        <f>IF(Table13[[#This Row],[BW]]="","",500/($AD$7+$AD$8*AB11+$AD$9*AB11^2+$AD$10*AB11^3+$AD$11*AB11^4+$AD$12*AB11^5))</f>
        <v>#REF!</v>
      </c>
      <c r="AA11" s="23">
        <f>IF(Table13[[#This Row],[BW]]="","",SUM(K11,O11,S11)*$AD$14)</f>
        <v>532.5</v>
      </c>
      <c r="AB11" s="24">
        <f>IF(Table13[[#This Row],[BW]]="","",Table13[[#This Row],[BW]]*$AD$14)</f>
        <v>66.7</v>
      </c>
      <c r="AC11" s="18" t="s">
        <v>38</v>
      </c>
      <c r="AD11" s="33" t="e">
        <f t="shared" si="0"/>
        <v>#REF!</v>
      </c>
      <c r="AE11" s="3"/>
      <c r="AF11" s="18">
        <v>6</v>
      </c>
      <c r="AG11" s="33">
        <v>7.0186299999999996E-6</v>
      </c>
      <c r="AH11" s="33">
        <v>4.731582E-5</v>
      </c>
      <c r="AJ11" s="28" t="str">
        <f>IF(ISBLANK(Table13[[#This Row],[Name]]),"",Table13[[#This Row],[Name]])</f>
        <v>Remi Rufus-Toye</v>
      </c>
      <c r="AK11" s="27" t="e">
        <f>IF(AND($AK$4,ISNUMBER(Table13[[#This Row],[BW]])),Table13[[#This Row],[BW]],NA())</f>
        <v>#N/A</v>
      </c>
      <c r="AL11" s="29" t="e">
        <f t="shared" si="1"/>
        <v>#N/A</v>
      </c>
      <c r="AM11" s="30" t="e">
        <f>IF(AND($AM$4,ISNUMBER(Table13[[#This Row],[MAXSQ]])),Table13[[#This Row],[MAXSQ]],NA())</f>
        <v>#N/A</v>
      </c>
      <c r="AN11" s="30" t="e">
        <f t="shared" si="2"/>
        <v>#N/A</v>
      </c>
      <c r="AO11" s="30" t="e">
        <f>IF(AND($AO$4,ISNUMBER(Table13[[#This Row],[MAXBN]])),Table13[[#This Row],[MAXBN]],NA())</f>
        <v>#N/A</v>
      </c>
      <c r="AP11" s="30" t="e">
        <f t="shared" si="3"/>
        <v>#N/A</v>
      </c>
      <c r="AQ11" s="30" t="e">
        <f>IF(AND($AQ$4,ISNUMBER(Table13[[#This Row],[MAXDL]])),Table13[[#This Row],[MAXDL]],NA())</f>
        <v>#N/A</v>
      </c>
      <c r="AR11" s="30" t="e">
        <f t="shared" si="4"/>
        <v>#N/A</v>
      </c>
      <c r="AS11" s="31" t="e">
        <f>IF(AND($AS$4,ISNUMBER(Table13[[#This Row],[TOTAL]])),Table13[[#This Row],[TOTAL]],NA())</f>
        <v>#N/A</v>
      </c>
      <c r="AT11" s="29" t="e">
        <f t="shared" si="5"/>
        <v>#N/A</v>
      </c>
      <c r="AU11" s="32" t="e">
        <f>IF(AND($AU$4,ISNUMBER(Table13[[#This Row],[Wilks]])),Table13[[#This Row],[Wilks]],NA())</f>
        <v>#N/A</v>
      </c>
      <c r="AV11" s="32" t="e">
        <f t="shared" si="6"/>
        <v>#N/A</v>
      </c>
    </row>
    <row r="12" spans="3:48" s="21" customFormat="1" ht="15" customHeight="1" x14ac:dyDescent="0.25">
      <c r="D12" s="61" t="s">
        <v>68</v>
      </c>
      <c r="E12" s="74" t="s">
        <v>60</v>
      </c>
      <c r="F12" s="74" t="s">
        <v>48</v>
      </c>
      <c r="G12" s="62">
        <v>80.3</v>
      </c>
      <c r="H12" s="63">
        <v>180</v>
      </c>
      <c r="I12" s="64">
        <v>195</v>
      </c>
      <c r="J12" s="65">
        <v>205</v>
      </c>
      <c r="K12" s="55">
        <f>IF(ISBLANK(Table13[[#This Row],[SQ1]]),"",MAX(Table13[[#This Row],[SQ1]:[SQ3]]))</f>
        <v>205</v>
      </c>
      <c r="L12" s="63">
        <v>120</v>
      </c>
      <c r="M12" s="64">
        <v>132.5</v>
      </c>
      <c r="N12" s="65">
        <v>137.5</v>
      </c>
      <c r="O12" s="55">
        <f>IF(ISBLANK(Table13[[#This Row],[BP1]]),"",MAX(Table13[[#This Row],[BP1]:[BP3]]))</f>
        <v>137.5</v>
      </c>
      <c r="P12" s="63">
        <v>230</v>
      </c>
      <c r="Q12" s="64">
        <v>245</v>
      </c>
      <c r="R12" s="64">
        <v>260</v>
      </c>
      <c r="S12" s="56">
        <f>IF(ISBLANK(Table13[[#This Row],[DL1]]),"",MAX(Table13[[#This Row],[DL1]:[DL3]]))</f>
        <v>260</v>
      </c>
      <c r="T12" s="57">
        <f>IF(ISBLANK(Table13[[#This Row],[BW]]),"",SUM(K12,O12,S12))</f>
        <v>602.5</v>
      </c>
      <c r="U12" s="81">
        <v>410.36</v>
      </c>
      <c r="V12" s="59">
        <f>IF(ISBLANK(Table13[[#This Row],[BW]]),"",9-ISTEXT(Table13[[#This Row],[SQ1]])-ISTEXT(Table13[[#This Row],[SQ2]])-ISTEXT(Table13[[#This Row],[SQ3]])-ISTEXT(Table13[[#This Row],[BP1]])-ISTEXT(Table13[[#This Row],[BP2]])-ISTEXT(Table13[[#This Row],[BP3]])-ISTEXT(Table13[[#This Row],[DL1]])-ISTEXT(Table13[[#This Row],[DL2]])-ISTEXT(Table13[[#This Row],[DL3]]))</f>
        <v>9</v>
      </c>
      <c r="W12" s="60" t="s">
        <v>37</v>
      </c>
      <c r="X12" s="82"/>
      <c r="Y12" s="85">
        <f>U7+U10+U16+U17+U20+U22</f>
        <v>2437.27</v>
      </c>
      <c r="Z12" s="8" t="e">
        <f>IF(Table13[[#This Row],[BW]]="","",500/($AD$7+$AD$8*AB12+$AD$9*AB12^2+$AD$10*AB12^3+$AD$11*AB12^4+$AD$12*AB12^5))</f>
        <v>#REF!</v>
      </c>
      <c r="AA12" s="23">
        <f>IF(Table13[[#This Row],[BW]]="","",SUM(K12,O12,S12)*$AD$14)</f>
        <v>602.5</v>
      </c>
      <c r="AB12" s="24">
        <f>IF(Table13[[#This Row],[BW]]="","",Table13[[#This Row],[BW]]*$AD$14)</f>
        <v>80.3</v>
      </c>
      <c r="AC12" s="18" t="s">
        <v>39</v>
      </c>
      <c r="AD12" s="33" t="e">
        <f t="shared" si="0"/>
        <v>#REF!</v>
      </c>
      <c r="AE12" s="3"/>
      <c r="AF12" s="18">
        <v>7</v>
      </c>
      <c r="AG12" s="33">
        <v>-1.2909999999999999E-8</v>
      </c>
      <c r="AH12" s="33">
        <v>-9.0540000000000002E-8</v>
      </c>
      <c r="AJ12" s="28" t="str">
        <f>IF(ISBLANK(Table13[[#This Row],[Name]]),"",Table13[[#This Row],[Name]])</f>
        <v>Kevin Tan</v>
      </c>
      <c r="AK12" s="27" t="e">
        <f>IF(AND($AK$4,ISNUMBER(Table13[[#This Row],[BW]])),Table13[[#This Row],[BW]],NA())</f>
        <v>#N/A</v>
      </c>
      <c r="AL12" s="29" t="e">
        <f t="shared" si="1"/>
        <v>#N/A</v>
      </c>
      <c r="AM12" s="30" t="e">
        <f>IF(AND($AM$4,ISNUMBER(Table13[[#This Row],[MAXSQ]])),Table13[[#This Row],[MAXSQ]],NA())</f>
        <v>#N/A</v>
      </c>
      <c r="AN12" s="30" t="e">
        <f t="shared" si="2"/>
        <v>#N/A</v>
      </c>
      <c r="AO12" s="30" t="e">
        <f>IF(AND($AO$4,ISNUMBER(Table13[[#This Row],[MAXBN]])),Table13[[#This Row],[MAXBN]],NA())</f>
        <v>#N/A</v>
      </c>
      <c r="AP12" s="30" t="e">
        <f t="shared" si="3"/>
        <v>#N/A</v>
      </c>
      <c r="AQ12" s="30" t="e">
        <f>IF(AND($AQ$4,ISNUMBER(Table13[[#This Row],[MAXDL]])),Table13[[#This Row],[MAXDL]],NA())</f>
        <v>#N/A</v>
      </c>
      <c r="AR12" s="30" t="e">
        <f t="shared" si="4"/>
        <v>#N/A</v>
      </c>
      <c r="AS12" s="31" t="e">
        <f>IF(AND($AS$4,ISNUMBER(Table13[[#This Row],[TOTAL]])),Table13[[#This Row],[TOTAL]],NA())</f>
        <v>#N/A</v>
      </c>
      <c r="AT12" s="29" t="e">
        <f t="shared" si="5"/>
        <v>#N/A</v>
      </c>
      <c r="AU12" s="32" t="e">
        <f>IF(AND($AU$4,ISNUMBER(Table13[[#This Row],[Wilks]])),Table13[[#This Row],[Wilks]],NA())</f>
        <v>#N/A</v>
      </c>
      <c r="AV12" s="32" t="e">
        <f t="shared" si="6"/>
        <v>#N/A</v>
      </c>
    </row>
    <row r="13" spans="3:48" s="21" customFormat="1" ht="15" customHeight="1" x14ac:dyDescent="0.25">
      <c r="D13" s="61" t="s">
        <v>64</v>
      </c>
      <c r="E13" s="74" t="s">
        <v>60</v>
      </c>
      <c r="F13" s="74" t="s">
        <v>48</v>
      </c>
      <c r="G13" s="62">
        <v>71.8</v>
      </c>
      <c r="H13" s="75">
        <v>185</v>
      </c>
      <c r="I13" s="76">
        <v>197.5</v>
      </c>
      <c r="J13" s="65" t="s">
        <v>94</v>
      </c>
      <c r="K13" s="55">
        <f>IF(ISBLANK(Table13[[#This Row],[SQ1]]),"",MAX(Table13[[#This Row],[SQ1]:[SQ3]]))</f>
        <v>197.5</v>
      </c>
      <c r="L13" s="75">
        <v>127.5</v>
      </c>
      <c r="M13" s="76">
        <v>132.5</v>
      </c>
      <c r="N13" s="77">
        <v>137.5</v>
      </c>
      <c r="O13" s="55">
        <f>IF(ISBLANK(Table13[[#This Row],[BP1]]),"",MAX(Table13[[#This Row],[BP1]:[BP3]]))</f>
        <v>137.5</v>
      </c>
      <c r="P13" s="63">
        <v>192.5</v>
      </c>
      <c r="Q13" s="64">
        <v>207.5</v>
      </c>
      <c r="R13" s="64">
        <v>220</v>
      </c>
      <c r="S13" s="56">
        <f>IF(ISBLANK(Table13[[#This Row],[DL1]]),"",MAX(Table13[[#This Row],[DL1]:[DL3]]))</f>
        <v>220</v>
      </c>
      <c r="T13" s="57">
        <f>IF(ISBLANK(Table13[[#This Row],[BW]]),"",SUM(K13,O13,S13))</f>
        <v>555</v>
      </c>
      <c r="U13" s="81">
        <v>408.04</v>
      </c>
      <c r="V13" s="59">
        <f>IF(ISBLANK(Table13[[#This Row],[BW]]),"",9-ISTEXT(Table13[[#This Row],[SQ1]])-ISTEXT(Table13[[#This Row],[SQ2]])-ISTEXT(Table13[[#This Row],[SQ3]])-ISTEXT(Table13[[#This Row],[BP1]])-ISTEXT(Table13[[#This Row],[BP2]])-ISTEXT(Table13[[#This Row],[BP3]])-ISTEXT(Table13[[#This Row],[DL1]])-ISTEXT(Table13[[#This Row],[DL2]])-ISTEXT(Table13[[#This Row],[DL3]]))</f>
        <v>8</v>
      </c>
      <c r="W13" s="60" t="s">
        <v>38</v>
      </c>
      <c r="X13" s="82"/>
      <c r="Y13" s="85">
        <f>U8+U9+U11+U12+Table13[[#This Row],[Wilks]]+U14</f>
        <v>2528.67</v>
      </c>
      <c r="Z13" s="8" t="e">
        <f>IF(Table13[[#This Row],[BW]]="","",500/($AD$7+$AD$8*AB13+$AD$9*AB13^2+$AD$10*AB13^3+$AD$11*AB13^4+$AD$12*AB13^5))</f>
        <v>#REF!</v>
      </c>
      <c r="AA13" s="23">
        <f>IF(Table13[[#This Row],[BW]]="","",SUM(K13,O13,S13)*$AD$14)</f>
        <v>555</v>
      </c>
      <c r="AB13" s="24">
        <f>IF(Table13[[#This Row],[BW]]="","",Table13[[#This Row],[BW]]*$AD$14)</f>
        <v>71.8</v>
      </c>
      <c r="AC13" s="24"/>
      <c r="AD13" s="24"/>
      <c r="AE13" s="34"/>
      <c r="AF13" s="34"/>
      <c r="AG13" s="34"/>
      <c r="AH13" s="34"/>
      <c r="AJ13" s="28" t="str">
        <f>IF(ISBLANK(Table13[[#This Row],[Name]]),"",Table13[[#This Row],[Name]])</f>
        <v>Raghul Parthipan</v>
      </c>
      <c r="AK13" s="27" t="e">
        <f>IF(AND($AK$4,ISNUMBER(Table13[[#This Row],[BW]])),Table13[[#This Row],[BW]],NA())</f>
        <v>#N/A</v>
      </c>
      <c r="AL13" s="29" t="e">
        <f t="shared" si="1"/>
        <v>#N/A</v>
      </c>
      <c r="AM13" s="30" t="e">
        <f>IF(AND($AM$4,ISNUMBER(Table13[[#This Row],[MAXSQ]])),Table13[[#This Row],[MAXSQ]],NA())</f>
        <v>#N/A</v>
      </c>
      <c r="AN13" s="30" t="e">
        <f t="shared" si="2"/>
        <v>#N/A</v>
      </c>
      <c r="AO13" s="30" t="e">
        <f>IF(AND($AO$4,ISNUMBER(Table13[[#This Row],[MAXBN]])),Table13[[#This Row],[MAXBN]],NA())</f>
        <v>#N/A</v>
      </c>
      <c r="AP13" s="30" t="e">
        <f t="shared" si="3"/>
        <v>#N/A</v>
      </c>
      <c r="AQ13" s="30" t="e">
        <f>IF(AND($AQ$4,ISNUMBER(Table13[[#This Row],[MAXDL]])),Table13[[#This Row],[MAXDL]],NA())</f>
        <v>#N/A</v>
      </c>
      <c r="AR13" s="30" t="e">
        <f t="shared" si="4"/>
        <v>#N/A</v>
      </c>
      <c r="AS13" s="31" t="e">
        <f>IF(AND($AS$4,ISNUMBER(Table13[[#This Row],[TOTAL]])),Table13[[#This Row],[TOTAL]],NA())</f>
        <v>#N/A</v>
      </c>
      <c r="AT13" s="29" t="e">
        <f t="shared" si="5"/>
        <v>#N/A</v>
      </c>
      <c r="AU13" s="32" t="e">
        <f>IF(AND($AU$4,ISNUMBER(Table13[[#This Row],[Wilks]])),Table13[[#This Row],[Wilks]],NA())</f>
        <v>#N/A</v>
      </c>
      <c r="AV13" s="32" t="e">
        <f t="shared" si="6"/>
        <v>#N/A</v>
      </c>
    </row>
    <row r="14" spans="3:48" s="21" customFormat="1" ht="15" customHeight="1" x14ac:dyDescent="0.25">
      <c r="D14" s="61" t="s">
        <v>44</v>
      </c>
      <c r="E14" s="74" t="s">
        <v>60</v>
      </c>
      <c r="F14" s="74" t="s">
        <v>48</v>
      </c>
      <c r="G14" s="62">
        <v>73.2</v>
      </c>
      <c r="H14" s="75">
        <v>170</v>
      </c>
      <c r="I14" s="76">
        <v>182.5</v>
      </c>
      <c r="J14" s="77">
        <v>190</v>
      </c>
      <c r="K14" s="55">
        <f>IF(ISBLANK(Table13[[#This Row],[SQ1]]),"",MAX(Table13[[#This Row],[SQ1]:[SQ3]]))</f>
        <v>190</v>
      </c>
      <c r="L14" s="75">
        <v>112.5</v>
      </c>
      <c r="M14" s="76">
        <v>117.5</v>
      </c>
      <c r="N14" s="77">
        <v>122.5</v>
      </c>
      <c r="O14" s="55">
        <f>IF(ISBLANK(Table13[[#This Row],[BP1]]),"",MAX(Table13[[#This Row],[BP1]:[BP3]]))</f>
        <v>122.5</v>
      </c>
      <c r="P14" s="63">
        <v>220</v>
      </c>
      <c r="Q14" s="64">
        <v>232.5</v>
      </c>
      <c r="R14" s="64">
        <v>242.5</v>
      </c>
      <c r="S14" s="56">
        <f>IF(ISBLANK(Table13[[#This Row],[DL1]]),"",MAX(Table13[[#This Row],[DL1]:[DL3]]))</f>
        <v>242.5</v>
      </c>
      <c r="T14" s="57">
        <f>IF(ISBLANK(Table13[[#This Row],[BW]]),"",SUM(K14,O14,S14))</f>
        <v>555</v>
      </c>
      <c r="U14" s="81">
        <v>402.33</v>
      </c>
      <c r="V14" s="59">
        <f>IF(ISBLANK(Table13[[#This Row],[BW]]),"",9-ISTEXT(Table13[[#This Row],[SQ1]])-ISTEXT(Table13[[#This Row],[SQ2]])-ISTEXT(Table13[[#This Row],[SQ3]])-ISTEXT(Table13[[#This Row],[BP1]])-ISTEXT(Table13[[#This Row],[BP2]])-ISTEXT(Table13[[#This Row],[BP3]])-ISTEXT(Table13[[#This Row],[DL1]])-ISTEXT(Table13[[#This Row],[DL2]])-ISTEXT(Table13[[#This Row],[DL3]]))</f>
        <v>9</v>
      </c>
      <c r="W14" s="60" t="s">
        <v>39</v>
      </c>
      <c r="X14" s="82"/>
      <c r="Y14" s="85">
        <f>Y13-Y12</f>
        <v>91.400000000000091</v>
      </c>
      <c r="Z14" s="8" t="e">
        <f>IF(Table13[[#This Row],[BW]]="","",500/($AD$7+$AD$8*AB14+$AD$9*AB14^2+$AD$10*AB14^3+$AD$11*AB14^4+$AD$12*AB14^5))</f>
        <v>#REF!</v>
      </c>
      <c r="AA14" s="23">
        <f>IF(Table13[[#This Row],[BW]]="","",SUM(K14,O14,S14)*$AD$14)</f>
        <v>555</v>
      </c>
      <c r="AB14" s="24">
        <f>IF(Table13[[#This Row],[BW]]="","",Table13[[#This Row],[BW]]*$AD$14)</f>
        <v>73.2</v>
      </c>
      <c r="AC14" s="18" t="s">
        <v>40</v>
      </c>
      <c r="AD14" s="35">
        <f>IF($U$3="lbs",1/2.20462,1)</f>
        <v>1</v>
      </c>
      <c r="AE14" s="34"/>
      <c r="AF14" s="34"/>
      <c r="AG14" s="34"/>
      <c r="AH14" s="34"/>
      <c r="AJ14" s="28" t="str">
        <f>IF(ISBLANK(Table13[[#This Row],[Name]]),"",Table13[[#This Row],[Name]])</f>
        <v>Angus Coyne-Grell</v>
      </c>
      <c r="AK14" s="27" t="e">
        <f>IF(AND($AK$4,ISNUMBER(Table13[[#This Row],[BW]])),Table13[[#This Row],[BW]],NA())</f>
        <v>#N/A</v>
      </c>
      <c r="AL14" s="29" t="e">
        <f t="shared" si="1"/>
        <v>#N/A</v>
      </c>
      <c r="AM14" s="30" t="e">
        <f>IF(AND($AM$4,ISNUMBER(Table13[[#This Row],[MAXSQ]])),Table13[[#This Row],[MAXSQ]],NA())</f>
        <v>#N/A</v>
      </c>
      <c r="AN14" s="30" t="e">
        <f t="shared" si="2"/>
        <v>#N/A</v>
      </c>
      <c r="AO14" s="30" t="e">
        <f>IF(AND($AO$4,ISNUMBER(Table13[[#This Row],[MAXBN]])),Table13[[#This Row],[MAXBN]],NA())</f>
        <v>#N/A</v>
      </c>
      <c r="AP14" s="30" t="e">
        <f t="shared" si="3"/>
        <v>#N/A</v>
      </c>
      <c r="AQ14" s="30" t="e">
        <f>IF(AND($AQ$4,ISNUMBER(Table13[[#This Row],[MAXDL]])),Table13[[#This Row],[MAXDL]],NA())</f>
        <v>#N/A</v>
      </c>
      <c r="AR14" s="30" t="e">
        <f t="shared" si="4"/>
        <v>#N/A</v>
      </c>
      <c r="AS14" s="31" t="e">
        <f>IF(AND($AS$4,ISNUMBER(Table13[[#This Row],[TOTAL]])),Table13[[#This Row],[TOTAL]],NA())</f>
        <v>#N/A</v>
      </c>
      <c r="AT14" s="29" t="e">
        <f t="shared" si="5"/>
        <v>#N/A</v>
      </c>
      <c r="AU14" s="32" t="e">
        <f>IF(AND($AU$4,ISNUMBER(Table13[[#This Row],[Wilks]])),Table13[[#This Row],[Wilks]],NA())</f>
        <v>#N/A</v>
      </c>
      <c r="AV14" s="32" t="e">
        <f t="shared" si="6"/>
        <v>#N/A</v>
      </c>
    </row>
    <row r="15" spans="3:48" s="21" customFormat="1" ht="15" customHeight="1" x14ac:dyDescent="0.25">
      <c r="D15" s="66" t="s">
        <v>73</v>
      </c>
      <c r="E15" s="73" t="s">
        <v>60</v>
      </c>
      <c r="F15" s="73" t="s">
        <v>48</v>
      </c>
      <c r="G15" s="62">
        <v>86.2</v>
      </c>
      <c r="H15" s="63">
        <v>187.5</v>
      </c>
      <c r="I15" s="64">
        <v>197.5</v>
      </c>
      <c r="J15" s="65">
        <v>207.5</v>
      </c>
      <c r="K15" s="55">
        <f>IF(ISBLANK(Table13[[#This Row],[SQ1]]),"",MAX(Table13[[#This Row],[SQ1]:[SQ3]]))</f>
        <v>207.5</v>
      </c>
      <c r="L15" s="63" t="s">
        <v>96</v>
      </c>
      <c r="M15" s="64">
        <v>147.5</v>
      </c>
      <c r="N15" s="65">
        <v>157.5</v>
      </c>
      <c r="O15" s="55">
        <f>IF(ISBLANK(Table13[[#This Row],[BP1]]),"",MAX(Table13[[#This Row],[BP1]:[BP3]]))</f>
        <v>157.5</v>
      </c>
      <c r="P15" s="63">
        <v>225</v>
      </c>
      <c r="Q15" s="64">
        <v>237.5</v>
      </c>
      <c r="R15" s="64">
        <v>247.5</v>
      </c>
      <c r="S15" s="56">
        <f>IF(ISBLANK(Table13[[#This Row],[DL1]]),"",MAX(Table13[[#This Row],[DL1]:[DL3]]))</f>
        <v>247.5</v>
      </c>
      <c r="T15" s="57">
        <f>IF(ISBLANK(Table13[[#This Row],[BW]]),"",SUM(K15,O15,S15))</f>
        <v>612.5</v>
      </c>
      <c r="U15" s="81">
        <v>400.08</v>
      </c>
      <c r="V15" s="59">
        <f>IF(ISBLANK(Table13[[#This Row],[BW]]),"",9-ISTEXT(Table13[[#This Row],[SQ1]])-ISTEXT(Table13[[#This Row],[SQ2]])-ISTEXT(Table13[[#This Row],[SQ3]])-ISTEXT(Table13[[#This Row],[BP1]])-ISTEXT(Table13[[#This Row],[BP2]])-ISTEXT(Table13[[#This Row],[BP3]])-ISTEXT(Table13[[#This Row],[DL1]])-ISTEXT(Table13[[#This Row],[DL2]])-ISTEXT(Table13[[#This Row],[DL3]]))</f>
        <v>8</v>
      </c>
      <c r="W15" s="67" t="s">
        <v>113</v>
      </c>
      <c r="X15" s="82"/>
      <c r="Y15" s="85"/>
      <c r="Z15" s="8" t="e">
        <f>IF(Table13[[#This Row],[BW]]="","",500/($AD$7+$AD$8*AB15+$AD$9*AB15^2+$AD$10*AB15^3+$AD$11*AB15^4+$AD$12*AB15^5))</f>
        <v>#REF!</v>
      </c>
      <c r="AA15" s="23">
        <f>IF(Table13[[#This Row],[BW]]="","",SUM(K15,O15,S15)*$AD$14)</f>
        <v>612.5</v>
      </c>
      <c r="AB15" s="24">
        <f>IF(Table13[[#This Row],[BW]]="","",Table13[[#This Row],[BW]]*$AD$14)</f>
        <v>86.2</v>
      </c>
      <c r="AC15" s="24"/>
      <c r="AD15" s="24"/>
      <c r="AE15" s="24"/>
      <c r="AF15" s="24"/>
      <c r="AG15" s="24"/>
      <c r="AH15" s="24"/>
      <c r="AJ15" s="28" t="str">
        <f>IF(ISBLANK(Table13[[#This Row],[Name]]),"",Table13[[#This Row],[Name]])</f>
        <v xml:space="preserve">Henry Trunley </v>
      </c>
      <c r="AK15" s="27" t="e">
        <f>IF(AND($AK$4,ISNUMBER(Table13[[#This Row],[BW]])),Table13[[#This Row],[BW]],NA())</f>
        <v>#N/A</v>
      </c>
      <c r="AL15" s="29" t="e">
        <f t="shared" si="1"/>
        <v>#N/A</v>
      </c>
      <c r="AM15" s="30" t="e">
        <f>IF(AND($AM$4,ISNUMBER(Table13[[#This Row],[MAXSQ]])),Table13[[#This Row],[MAXSQ]],NA())</f>
        <v>#N/A</v>
      </c>
      <c r="AN15" s="30" t="e">
        <f t="shared" si="2"/>
        <v>#N/A</v>
      </c>
      <c r="AO15" s="30" t="e">
        <f>IF(AND($AO$4,ISNUMBER(Table13[[#This Row],[MAXBN]])),Table13[[#This Row],[MAXBN]],NA())</f>
        <v>#N/A</v>
      </c>
      <c r="AP15" s="30" t="e">
        <f t="shared" si="3"/>
        <v>#N/A</v>
      </c>
      <c r="AQ15" s="30" t="e">
        <f>IF(AND($AQ$4,ISNUMBER(Table13[[#This Row],[MAXDL]])),Table13[[#This Row],[MAXDL]],NA())</f>
        <v>#N/A</v>
      </c>
      <c r="AR15" s="30" t="e">
        <f t="shared" si="4"/>
        <v>#N/A</v>
      </c>
      <c r="AS15" s="31" t="e">
        <f>IF(AND($AS$4,ISNUMBER(Table13[[#This Row],[TOTAL]])),Table13[[#This Row],[TOTAL]],NA())</f>
        <v>#N/A</v>
      </c>
      <c r="AT15" s="29" t="e">
        <f t="shared" si="5"/>
        <v>#N/A</v>
      </c>
      <c r="AU15" s="32" t="e">
        <f>IF(AND($AU$4,ISNUMBER(Table13[[#This Row],[Wilks]])),Table13[[#This Row],[Wilks]],NA())</f>
        <v>#N/A</v>
      </c>
      <c r="AV15" s="32" t="e">
        <f t="shared" si="6"/>
        <v>#N/A</v>
      </c>
    </row>
    <row r="16" spans="3:48" s="21" customFormat="1" ht="15" customHeight="1" x14ac:dyDescent="0.25">
      <c r="D16" s="61" t="s">
        <v>75</v>
      </c>
      <c r="E16" s="74" t="s">
        <v>60</v>
      </c>
      <c r="F16" s="74" t="s">
        <v>49</v>
      </c>
      <c r="G16" s="62">
        <v>88.3</v>
      </c>
      <c r="H16" s="63">
        <v>220</v>
      </c>
      <c r="I16" s="64" t="s">
        <v>98</v>
      </c>
      <c r="J16" s="65">
        <v>240</v>
      </c>
      <c r="K16" s="55">
        <f>IF(ISBLANK(Table13[[#This Row],[SQ1]]),"",MAX(Table13[[#This Row],[SQ1]:[SQ3]]))</f>
        <v>240</v>
      </c>
      <c r="L16" s="63">
        <v>115</v>
      </c>
      <c r="M16" s="64">
        <v>120</v>
      </c>
      <c r="N16" s="65">
        <v>122.5</v>
      </c>
      <c r="O16" s="55">
        <f>IF(ISBLANK(Table13[[#This Row],[BP1]]),"",MAX(Table13[[#This Row],[BP1]:[BP3]]))</f>
        <v>122.5</v>
      </c>
      <c r="P16" s="63">
        <v>235</v>
      </c>
      <c r="Q16" s="64">
        <v>252.5</v>
      </c>
      <c r="R16" s="64" t="s">
        <v>106</v>
      </c>
      <c r="S16" s="56">
        <f>IF(ISBLANK(Table13[[#This Row],[DL1]]),"",MAX(Table13[[#This Row],[DL1]:[DL3]]))</f>
        <v>252.5</v>
      </c>
      <c r="T16" s="57">
        <f>IF(ISBLANK(Table13[[#This Row],[BW]]),"",SUM(K16,O16,S16))</f>
        <v>615</v>
      </c>
      <c r="U16" s="80">
        <v>396.51</v>
      </c>
      <c r="V16" s="59">
        <f>IF(ISBLANK(Table13[[#This Row],[BW]]),"",9-ISTEXT(Table13[[#This Row],[SQ1]])-ISTEXT(Table13[[#This Row],[SQ2]])-ISTEXT(Table13[[#This Row],[SQ3]])-ISTEXT(Table13[[#This Row],[BP1]])-ISTEXT(Table13[[#This Row],[BP2]])-ISTEXT(Table13[[#This Row],[BP3]])-ISTEXT(Table13[[#This Row],[DL1]])-ISTEXT(Table13[[#This Row],[DL2]])-ISTEXT(Table13[[#This Row],[DL3]]))</f>
        <v>7</v>
      </c>
      <c r="W16" s="67">
        <v>3</v>
      </c>
      <c r="X16" s="82"/>
      <c r="Y16" s="85"/>
      <c r="Z16" s="8" t="e">
        <f>IF(Table13[[#This Row],[BW]]="","",500/($AD$7+$AD$8*AB16+$AD$9*AB16^2+$AD$10*AB16^3+$AD$11*AB16^4+$AD$12*AB16^5))</f>
        <v>#REF!</v>
      </c>
      <c r="AA16" s="23">
        <f>IF(Table13[[#This Row],[BW]]="","",SUM(K16,O16,S16)*$AD$14)</f>
        <v>615</v>
      </c>
      <c r="AB16" s="24">
        <f>IF(Table13[[#This Row],[BW]]="","",Table13[[#This Row],[BW]]*$AD$14)</f>
        <v>88.3</v>
      </c>
      <c r="AC16" s="24"/>
      <c r="AD16" s="24"/>
      <c r="AE16" s="24"/>
      <c r="AF16" s="24"/>
      <c r="AG16" s="24"/>
      <c r="AH16" s="24"/>
      <c r="AJ16" s="28" t="str">
        <f>IF(ISBLANK(Table13[[#This Row],[Name]]),"",Table13[[#This Row],[Name]])</f>
        <v>David Jia</v>
      </c>
      <c r="AK16" s="27" t="e">
        <f>IF(AND($AK$4,ISNUMBER(Table13[[#This Row],[BW]])),Table13[[#This Row],[BW]],NA())</f>
        <v>#N/A</v>
      </c>
      <c r="AL16" s="29" t="e">
        <f t="shared" si="1"/>
        <v>#N/A</v>
      </c>
      <c r="AM16" s="30" t="e">
        <f>IF(AND($AM$4,ISNUMBER(Table13[[#This Row],[MAXSQ]])),Table13[[#This Row],[MAXSQ]],NA())</f>
        <v>#N/A</v>
      </c>
      <c r="AN16" s="30" t="e">
        <f t="shared" si="2"/>
        <v>#N/A</v>
      </c>
      <c r="AO16" s="30" t="e">
        <f>IF(AND($AO$4,ISNUMBER(Table13[[#This Row],[MAXBN]])),Table13[[#This Row],[MAXBN]],NA())</f>
        <v>#N/A</v>
      </c>
      <c r="AP16" s="30" t="e">
        <f t="shared" si="3"/>
        <v>#N/A</v>
      </c>
      <c r="AQ16" s="30" t="e">
        <f>IF(AND($AQ$4,ISNUMBER(Table13[[#This Row],[MAXDL]])),Table13[[#This Row],[MAXDL]],NA())</f>
        <v>#N/A</v>
      </c>
      <c r="AR16" s="30" t="e">
        <f t="shared" si="4"/>
        <v>#N/A</v>
      </c>
      <c r="AS16" s="31" t="e">
        <f>IF(AND($AS$4,ISNUMBER(Table13[[#This Row],[TOTAL]])),Table13[[#This Row],[TOTAL]],NA())</f>
        <v>#N/A</v>
      </c>
      <c r="AT16" s="29" t="e">
        <f t="shared" si="5"/>
        <v>#N/A</v>
      </c>
      <c r="AU16" s="32" t="e">
        <f>IF(AND($AU$4,ISNUMBER(Table13[[#This Row],[Wilks]])),Table13[[#This Row],[Wilks]],NA())</f>
        <v>#N/A</v>
      </c>
      <c r="AV16" s="32" t="e">
        <f t="shared" si="6"/>
        <v>#N/A</v>
      </c>
    </row>
    <row r="17" spans="4:48" s="21" customFormat="1" ht="15" customHeight="1" x14ac:dyDescent="0.25">
      <c r="D17" s="61" t="s">
        <v>69</v>
      </c>
      <c r="E17" s="74" t="s">
        <v>60</v>
      </c>
      <c r="F17" s="74" t="s">
        <v>49</v>
      </c>
      <c r="G17" s="62">
        <v>80.8</v>
      </c>
      <c r="H17" s="63">
        <v>185</v>
      </c>
      <c r="I17" s="64" t="s">
        <v>95</v>
      </c>
      <c r="J17" s="65">
        <v>195</v>
      </c>
      <c r="K17" s="55">
        <f>IF(ISBLANK(Table13[[#This Row],[SQ1]]),"",MAX(Table13[[#This Row],[SQ1]:[SQ3]]))</f>
        <v>195</v>
      </c>
      <c r="L17" s="63">
        <v>132.5</v>
      </c>
      <c r="M17" s="64">
        <v>140</v>
      </c>
      <c r="N17" s="65" t="s">
        <v>102</v>
      </c>
      <c r="O17" s="55">
        <f>IF(ISBLANK(Table13[[#This Row],[BP1]]),"",MAX(Table13[[#This Row],[BP1]:[BP3]]))</f>
        <v>140</v>
      </c>
      <c r="P17" s="63">
        <v>225</v>
      </c>
      <c r="Q17" s="64">
        <v>237.5</v>
      </c>
      <c r="R17" s="64">
        <v>242.5</v>
      </c>
      <c r="S17" s="56">
        <f>IF(ISBLANK(Table13[[#This Row],[DL1]]),"",MAX(Table13[[#This Row],[DL1]:[DL3]]))</f>
        <v>242.5</v>
      </c>
      <c r="T17" s="57">
        <f>IF(ISBLANK(Table13[[#This Row],[BW]]),"",SUM(K17,O17,S17))</f>
        <v>577.5</v>
      </c>
      <c r="U17" s="80">
        <v>391.81</v>
      </c>
      <c r="V17" s="59">
        <f>IF(ISBLANK(Table13[[#This Row],[BW]]),"",9-ISTEXT(Table13[[#This Row],[SQ1]])-ISTEXT(Table13[[#This Row],[SQ2]])-ISTEXT(Table13[[#This Row],[SQ3]])-ISTEXT(Table13[[#This Row],[BP1]])-ISTEXT(Table13[[#This Row],[BP2]])-ISTEXT(Table13[[#This Row],[BP3]])-ISTEXT(Table13[[#This Row],[DL1]])-ISTEXT(Table13[[#This Row],[DL2]])-ISTEXT(Table13[[#This Row],[DL3]]))</f>
        <v>7</v>
      </c>
      <c r="W17" s="60">
        <v>4</v>
      </c>
      <c r="X17" s="82"/>
      <c r="Y17" s="85"/>
      <c r="Z17" s="8" t="e">
        <f>IF(Table13[[#This Row],[BW]]="","",500/($AD$7+$AD$8*AB17+$AD$9*AB17^2+$AD$10*AB17^3+$AD$11*AB17^4+$AD$12*AB17^5))</f>
        <v>#REF!</v>
      </c>
      <c r="AA17" s="23">
        <f>IF(Table13[[#This Row],[BW]]="","",SUM(K17,O17,S17)*$AD$14)</f>
        <v>577.5</v>
      </c>
      <c r="AB17" s="24">
        <f>IF(Table13[[#This Row],[BW]]="","",Table13[[#This Row],[BW]]*$AD$14)</f>
        <v>80.8</v>
      </c>
      <c r="AC17" s="24"/>
      <c r="AD17" s="24"/>
      <c r="AE17" s="24"/>
      <c r="AF17" s="24"/>
      <c r="AG17" s="24"/>
      <c r="AH17" s="24"/>
      <c r="AJ17" s="28" t="str">
        <f>IF(ISBLANK(Table13[[#This Row],[Name]]),"",Table13[[#This Row],[Name]])</f>
        <v>Jerome Squires</v>
      </c>
      <c r="AK17" s="27" t="e">
        <f>IF(AND($AK$4,ISNUMBER(Table13[[#This Row],[BW]])),Table13[[#This Row],[BW]],NA())</f>
        <v>#N/A</v>
      </c>
      <c r="AL17" s="29" t="e">
        <f t="shared" si="1"/>
        <v>#N/A</v>
      </c>
      <c r="AM17" s="30" t="e">
        <f>IF(AND($AM$4,ISNUMBER(Table13[[#This Row],[MAXSQ]])),Table13[[#This Row],[MAXSQ]],NA())</f>
        <v>#N/A</v>
      </c>
      <c r="AN17" s="30" t="e">
        <f t="shared" si="2"/>
        <v>#N/A</v>
      </c>
      <c r="AO17" s="30" t="e">
        <f>IF(AND($AO$4,ISNUMBER(Table13[[#This Row],[MAXBN]])),Table13[[#This Row],[MAXBN]],NA())</f>
        <v>#N/A</v>
      </c>
      <c r="AP17" s="30" t="e">
        <f t="shared" si="3"/>
        <v>#N/A</v>
      </c>
      <c r="AQ17" s="30" t="e">
        <f>IF(AND($AQ$4,ISNUMBER(Table13[[#This Row],[MAXDL]])),Table13[[#This Row],[MAXDL]],NA())</f>
        <v>#N/A</v>
      </c>
      <c r="AR17" s="30" t="e">
        <f t="shared" si="4"/>
        <v>#N/A</v>
      </c>
      <c r="AS17" s="31" t="e">
        <f>IF(AND($AS$4,ISNUMBER(Table13[[#This Row],[TOTAL]])),Table13[[#This Row],[TOTAL]],NA())</f>
        <v>#N/A</v>
      </c>
      <c r="AT17" s="29" t="e">
        <f t="shared" si="5"/>
        <v>#N/A</v>
      </c>
      <c r="AU17" s="32" t="e">
        <f>IF(AND($AU$4,ISNUMBER(Table13[[#This Row],[Wilks]])),Table13[[#This Row],[Wilks]],NA())</f>
        <v>#N/A</v>
      </c>
      <c r="AV17" s="32" t="e">
        <f t="shared" si="6"/>
        <v>#N/A</v>
      </c>
    </row>
    <row r="18" spans="4:48" s="21" customFormat="1" ht="15" customHeight="1" x14ac:dyDescent="0.25">
      <c r="D18" s="61" t="s">
        <v>59</v>
      </c>
      <c r="E18" s="74" t="s">
        <v>60</v>
      </c>
      <c r="F18" s="74" t="s">
        <v>48</v>
      </c>
      <c r="G18" s="62">
        <v>62.4</v>
      </c>
      <c r="H18" s="75">
        <v>145</v>
      </c>
      <c r="I18" s="76">
        <v>155</v>
      </c>
      <c r="J18" s="77">
        <v>162.5</v>
      </c>
      <c r="K18" s="55">
        <f>IF(ISBLANK(Table13[[#This Row],[SQ1]]),"",MAX(Table13[[#This Row],[SQ1]:[SQ3]]))</f>
        <v>162.5</v>
      </c>
      <c r="L18" s="75">
        <v>85</v>
      </c>
      <c r="M18" s="76">
        <v>90</v>
      </c>
      <c r="N18" s="77">
        <v>95</v>
      </c>
      <c r="O18" s="55">
        <f>IF(ISBLANK(Table13[[#This Row],[BP1]]),"",MAX(Table13[[#This Row],[BP1]:[BP3]]))</f>
        <v>95</v>
      </c>
      <c r="P18" s="63">
        <v>190</v>
      </c>
      <c r="Q18" s="64">
        <v>202.5</v>
      </c>
      <c r="R18" s="64">
        <v>212.5</v>
      </c>
      <c r="S18" s="56">
        <f>IF(ISBLANK(Table13[[#This Row],[DL1]]),"",MAX(Table13[[#This Row],[DL1]:[DL3]]))</f>
        <v>212.5</v>
      </c>
      <c r="T18" s="57">
        <f>IF(ISBLANK(Table13[[#This Row],[BW]]),"",SUM(K18,O18,S18))</f>
        <v>470</v>
      </c>
      <c r="U18" s="81">
        <v>387.04</v>
      </c>
      <c r="V18" s="59">
        <f>IF(ISBLANK(Table13[[#This Row],[BW]]),"",9-ISTEXT(Table13[[#This Row],[SQ1]])-ISTEXT(Table13[[#This Row],[SQ2]])-ISTEXT(Table13[[#This Row],[SQ3]])-ISTEXT(Table13[[#This Row],[BP1]])-ISTEXT(Table13[[#This Row],[BP2]])-ISTEXT(Table13[[#This Row],[BP3]])-ISTEXT(Table13[[#This Row],[DL1]])-ISTEXT(Table13[[#This Row],[DL2]])-ISTEXT(Table13[[#This Row],[DL3]]))</f>
        <v>9</v>
      </c>
      <c r="W18" s="60" t="s">
        <v>114</v>
      </c>
      <c r="X18" s="82"/>
      <c r="Y18" s="85"/>
      <c r="Z18" s="8" t="e">
        <f>IF(Table13[[#This Row],[BW]]="","",500/($AD$7+$AD$8*AB18+$AD$9*AB18^2+$AD$10*AB18^3+$AD$11*AB18^4+$AD$12*AB18^5))</f>
        <v>#REF!</v>
      </c>
      <c r="AA18" s="23">
        <f>IF(Table13[[#This Row],[BW]]="","",SUM(K18,O18,S18)*$AD$14)</f>
        <v>470</v>
      </c>
      <c r="AB18" s="24">
        <f>IF(Table13[[#This Row],[BW]]="","",Table13[[#This Row],[BW]]*$AD$14)</f>
        <v>62.4</v>
      </c>
      <c r="AC18" s="24"/>
      <c r="AD18" s="24"/>
      <c r="AE18" s="24"/>
      <c r="AF18" s="24"/>
      <c r="AG18" s="24"/>
      <c r="AH18" s="24"/>
      <c r="AJ18" s="28" t="str">
        <f>IF(ISBLANK(Table13[[#This Row],[Name]]),"",Table13[[#This Row],[Name]])</f>
        <v>Sujan Sriharan</v>
      </c>
      <c r="AK18" s="27" t="e">
        <f>IF(AND($AK$4,ISNUMBER(Table13[[#This Row],[BW]])),Table13[[#This Row],[BW]],NA())</f>
        <v>#N/A</v>
      </c>
      <c r="AL18" s="29" t="e">
        <f t="shared" si="1"/>
        <v>#N/A</v>
      </c>
      <c r="AM18" s="30" t="e">
        <f>IF(AND($AM$4,ISNUMBER(Table13[[#This Row],[MAXSQ]])),Table13[[#This Row],[MAXSQ]],NA())</f>
        <v>#N/A</v>
      </c>
      <c r="AN18" s="30" t="e">
        <f t="shared" si="2"/>
        <v>#N/A</v>
      </c>
      <c r="AO18" s="30" t="e">
        <f>IF(AND($AO$4,ISNUMBER(Table13[[#This Row],[MAXBN]])),Table13[[#This Row],[MAXBN]],NA())</f>
        <v>#N/A</v>
      </c>
      <c r="AP18" s="30" t="e">
        <f t="shared" si="3"/>
        <v>#N/A</v>
      </c>
      <c r="AQ18" s="30" t="e">
        <f>IF(AND($AQ$4,ISNUMBER(Table13[[#This Row],[MAXDL]])),Table13[[#This Row],[MAXDL]],NA())</f>
        <v>#N/A</v>
      </c>
      <c r="AR18" s="30" t="e">
        <f t="shared" si="4"/>
        <v>#N/A</v>
      </c>
      <c r="AS18" s="31" t="e">
        <f>IF(AND($AS$4,ISNUMBER(Table13[[#This Row],[TOTAL]])),Table13[[#This Row],[TOTAL]],NA())</f>
        <v>#N/A</v>
      </c>
      <c r="AT18" s="29" t="e">
        <f t="shared" si="5"/>
        <v>#N/A</v>
      </c>
      <c r="AU18" s="32" t="e">
        <f>IF(AND($AU$4,ISNUMBER(Table13[[#This Row],[Wilks]])),Table13[[#This Row],[Wilks]],NA())</f>
        <v>#N/A</v>
      </c>
      <c r="AV18" s="32" t="e">
        <f t="shared" si="6"/>
        <v>#N/A</v>
      </c>
    </row>
    <row r="19" spans="4:48" s="21" customFormat="1" ht="15" customHeight="1" x14ac:dyDescent="0.25">
      <c r="D19" s="61" t="s">
        <v>80</v>
      </c>
      <c r="E19" s="74" t="s">
        <v>60</v>
      </c>
      <c r="F19" s="74" t="s">
        <v>48</v>
      </c>
      <c r="G19" s="62">
        <v>96</v>
      </c>
      <c r="H19" s="63">
        <v>205</v>
      </c>
      <c r="I19" s="64">
        <v>220</v>
      </c>
      <c r="J19" s="65">
        <v>230</v>
      </c>
      <c r="K19" s="55">
        <f>IF(ISBLANK(Table13[[#This Row],[SQ1]]),"",MAX(Table13[[#This Row],[SQ1]:[SQ3]]))</f>
        <v>230</v>
      </c>
      <c r="L19" s="40" t="s">
        <v>97</v>
      </c>
      <c r="M19" s="2">
        <v>135</v>
      </c>
      <c r="N19" s="48" t="s">
        <v>101</v>
      </c>
      <c r="O19" s="51">
        <f>IF(ISBLANK(Table13[[#This Row],[BP1]]),"",MAX(Table13[[#This Row],[BP1]:[BP3]]))</f>
        <v>135</v>
      </c>
      <c r="P19" s="40">
        <v>240</v>
      </c>
      <c r="Q19" s="2">
        <v>255</v>
      </c>
      <c r="R19" s="2" t="s">
        <v>108</v>
      </c>
      <c r="S19" s="43">
        <f>IF(ISBLANK(Table13[[#This Row],[DL1]]),"",MAX(Table13[[#This Row],[DL1]:[DL3]]))</f>
        <v>255</v>
      </c>
      <c r="T19" s="26">
        <f>IF(ISBLANK(Table13[[#This Row],[BW]]),"",SUM(K19,O19,S19))</f>
        <v>620</v>
      </c>
      <c r="U19" s="81">
        <v>383.86</v>
      </c>
      <c r="V19" s="39">
        <f>IF(ISBLANK(Table13[[#This Row],[BW]]),"",9-ISTEXT(Table13[[#This Row],[SQ1]])-ISTEXT(Table13[[#This Row],[SQ2]])-ISTEXT(Table13[[#This Row],[SQ3]])-ISTEXT(Table13[[#This Row],[BP1]])-ISTEXT(Table13[[#This Row],[BP2]])-ISTEXT(Table13[[#This Row],[BP3]])-ISTEXT(Table13[[#This Row],[DL1]])-ISTEXT(Table13[[#This Row],[DL2]])-ISTEXT(Table13[[#This Row],[DL3]]))</f>
        <v>6</v>
      </c>
      <c r="W19" s="54"/>
      <c r="X19" s="82"/>
      <c r="Y19" s="85"/>
      <c r="Z19" s="8" t="e">
        <f>IF(Table13[[#This Row],[BW]]="","",500/($AD$7+$AD$8*AB19+$AD$9*AB19^2+$AD$10*AB19^3+$AD$11*AB19^4+$AD$12*AB19^5))</f>
        <v>#REF!</v>
      </c>
      <c r="AA19" s="23">
        <f>IF(Table13[[#This Row],[BW]]="","",SUM(K19,O19,S19)*$AD$14)</f>
        <v>620</v>
      </c>
      <c r="AB19" s="24">
        <f>IF(Table13[[#This Row],[BW]]="","",Table13[[#This Row],[BW]]*$AD$14)</f>
        <v>96</v>
      </c>
      <c r="AC19" s="24"/>
      <c r="AD19" s="24"/>
      <c r="AE19" s="24"/>
      <c r="AF19" s="24"/>
      <c r="AG19" s="24"/>
      <c r="AH19" s="24"/>
      <c r="AJ19" s="28" t="str">
        <f>IF(ISBLANK(Table13[[#This Row],[Name]]),"",Table13[[#This Row],[Name]])</f>
        <v xml:space="preserve">Vikram Thakur </v>
      </c>
      <c r="AK19" s="27" t="e">
        <f>IF(AND($AK$4,ISNUMBER(Table13[[#This Row],[BW]])),Table13[[#This Row],[BW]],NA())</f>
        <v>#N/A</v>
      </c>
      <c r="AL19" s="29" t="e">
        <f t="shared" si="1"/>
        <v>#N/A</v>
      </c>
      <c r="AM19" s="30" t="e">
        <f>IF(AND($AM$4,ISNUMBER(Table13[[#This Row],[MAXSQ]])),Table13[[#This Row],[MAXSQ]],NA())</f>
        <v>#N/A</v>
      </c>
      <c r="AN19" s="30" t="e">
        <f t="shared" si="2"/>
        <v>#N/A</v>
      </c>
      <c r="AO19" s="30" t="e">
        <f>IF(AND($AO$4,ISNUMBER(Table13[[#This Row],[MAXBN]])),Table13[[#This Row],[MAXBN]],NA())</f>
        <v>#N/A</v>
      </c>
      <c r="AP19" s="30" t="e">
        <f t="shared" si="3"/>
        <v>#N/A</v>
      </c>
      <c r="AQ19" s="30" t="e">
        <f>IF(AND($AQ$4,ISNUMBER(Table13[[#This Row],[MAXDL]])),Table13[[#This Row],[MAXDL]],NA())</f>
        <v>#N/A</v>
      </c>
      <c r="AR19" s="30" t="e">
        <f t="shared" si="4"/>
        <v>#N/A</v>
      </c>
      <c r="AS19" s="31" t="e">
        <f>IF(AND($AS$4,ISNUMBER(Table13[[#This Row],[TOTAL]])),Table13[[#This Row],[TOTAL]],NA())</f>
        <v>#N/A</v>
      </c>
      <c r="AT19" s="29" t="e">
        <f t="shared" si="5"/>
        <v>#N/A</v>
      </c>
      <c r="AU19" s="32" t="e">
        <f>IF(AND($AU$4,ISNUMBER(Table13[[#This Row],[Wilks]])),Table13[[#This Row],[Wilks]],NA())</f>
        <v>#N/A</v>
      </c>
      <c r="AV19" s="32" t="e">
        <f t="shared" si="6"/>
        <v>#N/A</v>
      </c>
    </row>
    <row r="20" spans="4:48" s="21" customFormat="1" ht="15" customHeight="1" x14ac:dyDescent="0.25">
      <c r="D20" s="61" t="s">
        <v>65</v>
      </c>
      <c r="E20" s="74" t="s">
        <v>60</v>
      </c>
      <c r="F20" s="74" t="s">
        <v>49</v>
      </c>
      <c r="G20" s="62">
        <v>78.2</v>
      </c>
      <c r="H20" s="75">
        <v>170</v>
      </c>
      <c r="I20" s="76">
        <v>175</v>
      </c>
      <c r="J20" s="77">
        <v>180</v>
      </c>
      <c r="K20" s="55">
        <f>IF(ISBLANK(Table13[[#This Row],[SQ1]]),"",MAX(Table13[[#This Row],[SQ1]:[SQ3]]))</f>
        <v>180</v>
      </c>
      <c r="L20" s="75">
        <v>127.5</v>
      </c>
      <c r="M20" s="76">
        <v>132.5</v>
      </c>
      <c r="N20" s="77">
        <v>135</v>
      </c>
      <c r="O20" s="55">
        <f>IF(ISBLANK(Table13[[#This Row],[BP1]]),"",MAX(Table13[[#This Row],[BP1]:[BP3]]))</f>
        <v>135</v>
      </c>
      <c r="P20" s="63">
        <v>215</v>
      </c>
      <c r="Q20" s="64">
        <v>227.5</v>
      </c>
      <c r="R20" s="64">
        <v>232.5</v>
      </c>
      <c r="S20" s="56">
        <f>IF(ISBLANK(Table13[[#This Row],[DL1]]),"",MAX(Table13[[#This Row],[DL1]:[DL3]]))</f>
        <v>232.5</v>
      </c>
      <c r="T20" s="57">
        <f>IF(ISBLANK(Table13[[#This Row],[BW]]),"",SUM(K20,O20,S20))</f>
        <v>547.5</v>
      </c>
      <c r="U20" s="80">
        <v>379.28</v>
      </c>
      <c r="V20" s="59">
        <f>IF(ISBLANK(Table13[[#This Row],[BW]]),"",9-ISTEXT(Table13[[#This Row],[SQ1]])-ISTEXT(Table13[[#This Row],[SQ2]])-ISTEXT(Table13[[#This Row],[SQ3]])-ISTEXT(Table13[[#This Row],[BP1]])-ISTEXT(Table13[[#This Row],[BP2]])-ISTEXT(Table13[[#This Row],[BP3]])-ISTEXT(Table13[[#This Row],[DL1]])-ISTEXT(Table13[[#This Row],[DL2]])-ISTEXT(Table13[[#This Row],[DL3]]))</f>
        <v>9</v>
      </c>
      <c r="W20" s="60">
        <v>5</v>
      </c>
      <c r="X20" s="82"/>
      <c r="Y20" s="85"/>
      <c r="Z20" s="8" t="e">
        <f>IF(Table13[[#This Row],[BW]]="","",500/($AD$7+$AD$8*AB20+$AD$9*AB20^2+$AD$10*AB20^3+$AD$11*AB20^4+$AD$12*AB20^5))</f>
        <v>#REF!</v>
      </c>
      <c r="AA20" s="23">
        <f>IF(Table13[[#This Row],[BW]]="","",SUM(K20,O20,S20)*$AD$14)</f>
        <v>547.5</v>
      </c>
      <c r="AB20" s="24">
        <f>IF(Table13[[#This Row],[BW]]="","",Table13[[#This Row],[BW]]*$AD$14)</f>
        <v>78.2</v>
      </c>
      <c r="AC20" s="24"/>
      <c r="AD20" s="24"/>
      <c r="AE20" s="24"/>
      <c r="AF20" s="24"/>
      <c r="AG20" s="24"/>
      <c r="AH20" s="24"/>
      <c r="AJ20" s="28" t="str">
        <f>IF(ISBLANK(Table13[[#This Row],[Name]]),"",Table13[[#This Row],[Name]])</f>
        <v>Nicholas Burden</v>
      </c>
      <c r="AK20" s="27" t="e">
        <f>IF(AND($AK$4,ISNUMBER(Table13[[#This Row],[BW]])),Table13[[#This Row],[BW]],NA())</f>
        <v>#N/A</v>
      </c>
      <c r="AL20" s="29" t="e">
        <f t="shared" si="1"/>
        <v>#N/A</v>
      </c>
      <c r="AM20" s="30" t="e">
        <f>IF(AND($AM$4,ISNUMBER(Table13[[#This Row],[MAXSQ]])),Table13[[#This Row],[MAXSQ]],NA())</f>
        <v>#N/A</v>
      </c>
      <c r="AN20" s="30" t="e">
        <f t="shared" si="2"/>
        <v>#N/A</v>
      </c>
      <c r="AO20" s="30" t="e">
        <f>IF(AND($AO$4,ISNUMBER(Table13[[#This Row],[MAXBN]])),Table13[[#This Row],[MAXBN]],NA())</f>
        <v>#N/A</v>
      </c>
      <c r="AP20" s="30" t="e">
        <f t="shared" si="3"/>
        <v>#N/A</v>
      </c>
      <c r="AQ20" s="30" t="e">
        <f>IF(AND($AQ$4,ISNUMBER(Table13[[#This Row],[MAXDL]])),Table13[[#This Row],[MAXDL]],NA())</f>
        <v>#N/A</v>
      </c>
      <c r="AR20" s="30" t="e">
        <f t="shared" si="4"/>
        <v>#N/A</v>
      </c>
      <c r="AS20" s="31" t="e">
        <f>IF(AND($AS$4,ISNUMBER(Table13[[#This Row],[TOTAL]])),Table13[[#This Row],[TOTAL]],NA())</f>
        <v>#N/A</v>
      </c>
      <c r="AT20" s="29" t="e">
        <f t="shared" si="5"/>
        <v>#N/A</v>
      </c>
      <c r="AU20" s="32" t="e">
        <f>IF(AND($AU$4,ISNUMBER(Table13[[#This Row],[Wilks]])),Table13[[#This Row],[Wilks]],NA())</f>
        <v>#N/A</v>
      </c>
      <c r="AV20" s="32" t="e">
        <f t="shared" si="6"/>
        <v>#N/A</v>
      </c>
    </row>
    <row r="21" spans="4:48" s="36" customFormat="1" ht="15" customHeight="1" x14ac:dyDescent="0.25">
      <c r="D21" s="61" t="s">
        <v>67</v>
      </c>
      <c r="E21" s="74" t="s">
        <v>60</v>
      </c>
      <c r="F21" s="74" t="s">
        <v>48</v>
      </c>
      <c r="G21" s="62">
        <v>80.2</v>
      </c>
      <c r="H21" s="63">
        <v>190</v>
      </c>
      <c r="I21" s="64">
        <v>202.5</v>
      </c>
      <c r="J21" s="65">
        <v>210</v>
      </c>
      <c r="K21" s="55">
        <f>IF(ISBLANK(Table13[[#This Row],[SQ1]]),"",MAX(Table13[[#This Row],[SQ1]:[SQ3]]))</f>
        <v>210</v>
      </c>
      <c r="L21" s="63">
        <v>112.5</v>
      </c>
      <c r="M21" s="64">
        <v>117.5</v>
      </c>
      <c r="N21" s="65">
        <v>120</v>
      </c>
      <c r="O21" s="55">
        <f>IF(ISBLANK(Table13[[#This Row],[BP1]]),"",MAX(Table13[[#This Row],[BP1]:[BP3]]))</f>
        <v>120</v>
      </c>
      <c r="P21" s="63">
        <v>215</v>
      </c>
      <c r="Q21" s="64">
        <v>225</v>
      </c>
      <c r="R21" s="64" t="s">
        <v>105</v>
      </c>
      <c r="S21" s="56">
        <f>IF(ISBLANK(Table13[[#This Row],[DL1]]),"",MAX(Table13[[#This Row],[DL1]:[DL3]]))</f>
        <v>225</v>
      </c>
      <c r="T21" s="57">
        <f>IF(ISBLANK(Table13[[#This Row],[BW]]),"",SUM(K21,O21,S21))</f>
        <v>555</v>
      </c>
      <c r="U21" s="81">
        <v>378.3</v>
      </c>
      <c r="V21" s="59">
        <f>IF(ISBLANK(Table13[[#This Row],[BW]]),"",9-ISTEXT(Table13[[#This Row],[SQ1]])-ISTEXT(Table13[[#This Row],[SQ2]])-ISTEXT(Table13[[#This Row],[SQ3]])-ISTEXT(Table13[[#This Row],[BP1]])-ISTEXT(Table13[[#This Row],[BP2]])-ISTEXT(Table13[[#This Row],[BP3]])-ISTEXT(Table13[[#This Row],[DL1]])-ISTEXT(Table13[[#This Row],[DL2]])-ISTEXT(Table13[[#This Row],[DL3]]))</f>
        <v>8</v>
      </c>
      <c r="W21" s="60"/>
      <c r="X21" s="82"/>
      <c r="Y21" s="86"/>
      <c r="Z21" s="8" t="e">
        <f>IF(Table13[[#This Row],[BW]]="","",500/($AD$7+$AD$8*AB21+$AD$9*AB21^2+$AD$10*AB21^3+$AD$11*AB21^4+$AD$12*AB21^5))</f>
        <v>#REF!</v>
      </c>
      <c r="AA21" s="23">
        <f>IF(Table13[[#This Row],[BW]]="","",SUM(K21,O21,S21)*$AD$14)</f>
        <v>555</v>
      </c>
      <c r="AB21" s="24">
        <f>IF(Table13[[#This Row],[BW]]="","",Table13[[#This Row],[BW]]*$AD$14)</f>
        <v>80.2</v>
      </c>
      <c r="AC21" s="24"/>
      <c r="AD21" s="24"/>
      <c r="AE21" s="24"/>
      <c r="AF21" s="24"/>
      <c r="AG21" s="24"/>
      <c r="AH21" s="24"/>
      <c r="AJ21" s="28" t="str">
        <f>IF(ISBLANK(Table13[[#This Row],[Name]]),"",Table13[[#This Row],[Name]])</f>
        <v>Raihan Mohammed</v>
      </c>
      <c r="AK21" s="27" t="e">
        <f>IF(AND($AK$4,ISNUMBER(Table13[[#This Row],[BW]])),Table13[[#This Row],[BW]],NA())</f>
        <v>#N/A</v>
      </c>
      <c r="AL21" s="29" t="e">
        <f t="shared" si="1"/>
        <v>#N/A</v>
      </c>
      <c r="AM21" s="30" t="e">
        <f>IF(AND($AM$4,ISNUMBER(Table13[[#This Row],[MAXSQ]])),Table13[[#This Row],[MAXSQ]],NA())</f>
        <v>#N/A</v>
      </c>
      <c r="AN21" s="30" t="e">
        <f t="shared" si="2"/>
        <v>#N/A</v>
      </c>
      <c r="AO21" s="30" t="e">
        <f>IF(AND($AO$4,ISNUMBER(Table13[[#This Row],[MAXBN]])),Table13[[#This Row],[MAXBN]],NA())</f>
        <v>#N/A</v>
      </c>
      <c r="AP21" s="30" t="e">
        <f t="shared" si="3"/>
        <v>#N/A</v>
      </c>
      <c r="AQ21" s="30" t="e">
        <f>IF(AND($AQ$4,ISNUMBER(Table13[[#This Row],[MAXDL]])),Table13[[#This Row],[MAXDL]],NA())</f>
        <v>#N/A</v>
      </c>
      <c r="AR21" s="30" t="e">
        <f t="shared" si="4"/>
        <v>#N/A</v>
      </c>
      <c r="AS21" s="31" t="e">
        <f>IF(AND($AS$4,ISNUMBER(Table13[[#This Row],[TOTAL]])),Table13[[#This Row],[TOTAL]],NA())</f>
        <v>#N/A</v>
      </c>
      <c r="AT21" s="29" t="e">
        <f t="shared" si="5"/>
        <v>#N/A</v>
      </c>
      <c r="AU21" s="32" t="e">
        <f>IF(AND($AU$4,ISNUMBER(Table13[[#This Row],[Wilks]])),Table13[[#This Row],[Wilks]],NA())</f>
        <v>#N/A</v>
      </c>
      <c r="AV21" s="32" t="e">
        <f t="shared" si="6"/>
        <v>#N/A</v>
      </c>
    </row>
    <row r="22" spans="4:48" s="21" customFormat="1" ht="15" customHeight="1" x14ac:dyDescent="0.25">
      <c r="D22" s="61" t="s">
        <v>82</v>
      </c>
      <c r="E22" s="74" t="s">
        <v>60</v>
      </c>
      <c r="F22" s="74" t="s">
        <v>49</v>
      </c>
      <c r="G22" s="62">
        <v>111.9</v>
      </c>
      <c r="H22" s="63">
        <v>217.5</v>
      </c>
      <c r="I22" s="64">
        <v>227.5</v>
      </c>
      <c r="J22" s="65">
        <v>237.5</v>
      </c>
      <c r="K22" s="55">
        <f>IF(ISBLANK(Table13[[#This Row],[SQ1]]),"",MAX(Table13[[#This Row],[SQ1]:[SQ3]]))</f>
        <v>237.5</v>
      </c>
      <c r="L22" s="40">
        <v>120</v>
      </c>
      <c r="M22" s="2">
        <v>130</v>
      </c>
      <c r="N22" s="48">
        <v>137.5</v>
      </c>
      <c r="O22" s="51">
        <f>IF(ISBLANK(Table13[[#This Row],[BP1]]),"",MAX(Table13[[#This Row],[BP1]:[BP3]]))</f>
        <v>137.5</v>
      </c>
      <c r="P22" s="40">
        <v>240</v>
      </c>
      <c r="Q22" s="2">
        <v>255</v>
      </c>
      <c r="R22" s="2">
        <v>267.5</v>
      </c>
      <c r="S22" s="43">
        <f>IF(ISBLANK(Table13[[#This Row],[DL1]]),"",MAX(Table13[[#This Row],[DL1]:[DL3]]))</f>
        <v>267.5</v>
      </c>
      <c r="T22" s="26">
        <f>IF(ISBLANK(Table13[[#This Row],[BW]]),"",SUM(K22,O22,S22))</f>
        <v>642.5</v>
      </c>
      <c r="U22" s="80">
        <v>376.18</v>
      </c>
      <c r="V22" s="39">
        <f>IF(ISBLANK(Table13[[#This Row],[BW]]),"",9-ISTEXT(Table13[[#This Row],[SQ1]])-ISTEXT(Table13[[#This Row],[SQ2]])-ISTEXT(Table13[[#This Row],[SQ3]])-ISTEXT(Table13[[#This Row],[BP1]])-ISTEXT(Table13[[#This Row],[BP2]])-ISTEXT(Table13[[#This Row],[BP3]])-ISTEXT(Table13[[#This Row],[DL1]])-ISTEXT(Table13[[#This Row],[DL2]])-ISTEXT(Table13[[#This Row],[DL3]]))</f>
        <v>9</v>
      </c>
      <c r="W22" s="54">
        <v>6</v>
      </c>
      <c r="X22" s="82"/>
      <c r="Y22" s="85"/>
      <c r="Z22" s="8" t="e">
        <f>IF(Table13[[#This Row],[BW]]="","",500/($AD$7+$AD$8*AB22+$AD$9*AB22^2+$AD$10*AB22^3+$AD$11*AB22^4+$AD$12*AB22^5))</f>
        <v>#REF!</v>
      </c>
      <c r="AA22" s="23">
        <f>IF(Table13[[#This Row],[BW]]="","",SUM(K22,O22,S22)*$AD$14)</f>
        <v>642.5</v>
      </c>
      <c r="AB22" s="24">
        <f>IF(Table13[[#This Row],[BW]]="","",Table13[[#This Row],[BW]]*$AD$14)</f>
        <v>111.9</v>
      </c>
      <c r="AC22" s="24"/>
      <c r="AD22" s="24"/>
      <c r="AE22" s="24"/>
      <c r="AF22" s="24"/>
      <c r="AG22" s="24"/>
      <c r="AH22" s="24"/>
      <c r="AJ22" s="28" t="str">
        <f>IF(ISBLANK(Table13[[#This Row],[Name]]),"",Table13[[#This Row],[Name]])</f>
        <v>Hector Van Smirren</v>
      </c>
      <c r="AK22" s="27" t="e">
        <f>IF(AND($AK$4,ISNUMBER(Table13[[#This Row],[BW]])),Table13[[#This Row],[BW]],NA())</f>
        <v>#N/A</v>
      </c>
      <c r="AL22" s="29" t="e">
        <f t="shared" ref="AL22" si="7">IF($AK$4=FALSE,NA(),IF(G22=MAX(G$7:G$35),G22,NA()))</f>
        <v>#N/A</v>
      </c>
      <c r="AM22" s="30" t="e">
        <f>IF(AND($AM$4,ISNUMBER(Table13[[#This Row],[MAXSQ]])),Table13[[#This Row],[MAXSQ]],NA())</f>
        <v>#N/A</v>
      </c>
      <c r="AN22" s="30" t="e">
        <f t="shared" ref="AN22" si="8">IF($AM$4=FALSE,NA(),IF(K22=MAX(K$7:K$35),K22,NA()))</f>
        <v>#N/A</v>
      </c>
      <c r="AO22" s="30" t="e">
        <f>IF(AND($AO$4,ISNUMBER(Table13[[#This Row],[MAXBN]])),Table13[[#This Row],[MAXBN]],NA())</f>
        <v>#N/A</v>
      </c>
      <c r="AP22" s="30" t="e">
        <f t="shared" ref="AP22" si="9">IF($AO$4=FALSE,NA(),IF(O22=MAX(O$7:O$35),O22,NA()))</f>
        <v>#N/A</v>
      </c>
      <c r="AQ22" s="30" t="e">
        <f>IF(AND($AQ$4,ISNUMBER(Table13[[#This Row],[MAXDL]])),Table13[[#This Row],[MAXDL]],NA())</f>
        <v>#N/A</v>
      </c>
      <c r="AR22" s="30" t="e">
        <f t="shared" ref="AR22" si="10">IF($AQ$4=FALSE,NA(),IF(S22=MAX(S$7:S$35),S22,NA()))</f>
        <v>#N/A</v>
      </c>
      <c r="AS22" s="31" t="e">
        <f>IF(AND($AS$4,ISNUMBER(Table13[[#This Row],[TOTAL]])),Table13[[#This Row],[TOTAL]],NA())</f>
        <v>#N/A</v>
      </c>
      <c r="AT22" s="29" t="e">
        <f t="shared" ref="AT22" si="11">IF($AS$4=FALSE,NA(),IF(T22=MAX(T$7:T$35),T22,NA()))</f>
        <v>#N/A</v>
      </c>
      <c r="AU22" s="32" t="e">
        <f>IF(AND($AU$4,ISNUMBER(Table13[[#This Row],[Wilks]])),Table13[[#This Row],[Wilks]],NA())</f>
        <v>#N/A</v>
      </c>
      <c r="AV22" s="32" t="e">
        <f t="shared" ref="AV22" si="12">IF($AU$4=FALSE,NA(),IF(U22=MAX(U$7:U$35),U22,NA()))</f>
        <v>#N/A</v>
      </c>
    </row>
    <row r="23" spans="4:48" s="21" customFormat="1" ht="15" customHeight="1" x14ac:dyDescent="0.25">
      <c r="D23" s="61" t="s">
        <v>72</v>
      </c>
      <c r="E23" s="74" t="s">
        <v>60</v>
      </c>
      <c r="F23" s="74" t="s">
        <v>48</v>
      </c>
      <c r="G23" s="62">
        <v>85</v>
      </c>
      <c r="H23" s="63">
        <v>175</v>
      </c>
      <c r="I23" s="64">
        <v>185</v>
      </c>
      <c r="J23" s="65">
        <v>192.5</v>
      </c>
      <c r="K23" s="55">
        <f>IF(ISBLANK(Table13[[#This Row],[SQ1]]),"",MAX(Table13[[#This Row],[SQ1]:[SQ3]]))</f>
        <v>192.5</v>
      </c>
      <c r="L23" s="63">
        <v>127.5</v>
      </c>
      <c r="M23" s="64">
        <v>135</v>
      </c>
      <c r="N23" s="65">
        <v>142.5</v>
      </c>
      <c r="O23" s="55">
        <f>IF(ISBLANK(Table13[[#This Row],[BP1]]),"",MAX(Table13[[#This Row],[BP1]:[BP3]]))</f>
        <v>142.5</v>
      </c>
      <c r="P23" s="63">
        <v>210</v>
      </c>
      <c r="Q23" s="64">
        <v>212.5</v>
      </c>
      <c r="R23" s="64">
        <v>232.5</v>
      </c>
      <c r="S23" s="56">
        <f>IF(ISBLANK(Table13[[#This Row],[DL1]]),"",MAX(Table13[[#This Row],[DL1]:[DL3]]))</f>
        <v>232.5</v>
      </c>
      <c r="T23" s="57">
        <f>IF(ISBLANK(Table13[[#This Row],[BW]]),"",SUM(K23,O23,S23))</f>
        <v>567.5</v>
      </c>
      <c r="U23" s="81">
        <v>373.61</v>
      </c>
      <c r="V23" s="59">
        <f>IF(ISBLANK(Table13[[#This Row],[BW]]),"",9-ISTEXT(Table13[[#This Row],[SQ1]])-ISTEXT(Table13[[#This Row],[SQ2]])-ISTEXT(Table13[[#This Row],[SQ3]])-ISTEXT(Table13[[#This Row],[BP1]])-ISTEXT(Table13[[#This Row],[BP2]])-ISTEXT(Table13[[#This Row],[BP3]])-ISTEXT(Table13[[#This Row],[DL1]])-ISTEXT(Table13[[#This Row],[DL2]])-ISTEXT(Table13[[#This Row],[DL3]]))</f>
        <v>9</v>
      </c>
      <c r="W23" s="60"/>
      <c r="X23" s="82"/>
      <c r="Y23" s="85"/>
      <c r="Z23" s="8" t="e">
        <f>IF(Table13[[#This Row],[BW]]="","",500/($AD$7+$AD$8*AB23+$AD$9*AB23^2+$AD$10*AB23^3+$AD$11*AB23^4+$AD$12*AB23^5))</f>
        <v>#REF!</v>
      </c>
      <c r="AA23" s="23">
        <f>IF(Table13[[#This Row],[BW]]="","",SUM(K23,O23,S23)*$AD$14)</f>
        <v>567.5</v>
      </c>
      <c r="AB23" s="24">
        <f>IF(Table13[[#This Row],[BW]]="","",Table13[[#This Row],[BW]]*$AD$14)</f>
        <v>85</v>
      </c>
      <c r="AC23" s="24"/>
      <c r="AD23" s="24"/>
      <c r="AE23" s="24"/>
      <c r="AF23" s="24"/>
      <c r="AG23" s="24"/>
      <c r="AH23" s="24"/>
      <c r="AJ23" s="28" t="str">
        <f>IF(ISBLANK(Table13[[#This Row],[Name]]),"",Table13[[#This Row],[Name]])</f>
        <v>Steven Smithies</v>
      </c>
      <c r="AK23" s="27" t="e">
        <f>IF(AND($AK$4,ISNUMBER(Table13[[#This Row],[BW]])),Table13[[#This Row],[BW]],NA())</f>
        <v>#N/A</v>
      </c>
      <c r="AL23" s="29" t="e">
        <f t="shared" si="1"/>
        <v>#N/A</v>
      </c>
      <c r="AM23" s="30" t="e">
        <f>IF(AND($AM$4,ISNUMBER(Table13[[#This Row],[MAXSQ]])),Table13[[#This Row],[MAXSQ]],NA())</f>
        <v>#N/A</v>
      </c>
      <c r="AN23" s="30" t="e">
        <f t="shared" si="2"/>
        <v>#N/A</v>
      </c>
      <c r="AO23" s="30" t="e">
        <f>IF(AND($AO$4,ISNUMBER(Table13[[#This Row],[MAXBN]])),Table13[[#This Row],[MAXBN]],NA())</f>
        <v>#N/A</v>
      </c>
      <c r="AP23" s="30" t="e">
        <f t="shared" si="3"/>
        <v>#N/A</v>
      </c>
      <c r="AQ23" s="30" t="e">
        <f>IF(AND($AQ$4,ISNUMBER(Table13[[#This Row],[MAXDL]])),Table13[[#This Row],[MAXDL]],NA())</f>
        <v>#N/A</v>
      </c>
      <c r="AR23" s="30" t="e">
        <f t="shared" si="4"/>
        <v>#N/A</v>
      </c>
      <c r="AS23" s="31" t="e">
        <f>IF(AND($AS$4,ISNUMBER(Table13[[#This Row],[TOTAL]])),Table13[[#This Row],[TOTAL]],NA())</f>
        <v>#N/A</v>
      </c>
      <c r="AT23" s="29" t="e">
        <f t="shared" si="5"/>
        <v>#N/A</v>
      </c>
      <c r="AU23" s="32" t="e">
        <f>IF(AND($AU$4,ISNUMBER(Table13[[#This Row],[Wilks]])),Table13[[#This Row],[Wilks]],NA())</f>
        <v>#N/A</v>
      </c>
      <c r="AV23" s="32" t="e">
        <f t="shared" si="6"/>
        <v>#N/A</v>
      </c>
    </row>
    <row r="24" spans="4:48" s="21" customFormat="1" ht="15" customHeight="1" x14ac:dyDescent="0.25">
      <c r="D24" s="66" t="s">
        <v>46</v>
      </c>
      <c r="E24" s="73" t="s">
        <v>55</v>
      </c>
      <c r="F24" s="73" t="s">
        <v>48</v>
      </c>
      <c r="G24" s="62">
        <v>48.2</v>
      </c>
      <c r="H24" s="75">
        <v>90</v>
      </c>
      <c r="I24" s="76">
        <v>95</v>
      </c>
      <c r="J24" s="65" t="s">
        <v>87</v>
      </c>
      <c r="K24" s="68">
        <f>IF(ISBLANK(Table13[[#This Row],[SQ1]]),"",MAX(Table13[[#This Row],[SQ1]:[SQ3]]))</f>
        <v>95</v>
      </c>
      <c r="L24" s="75">
        <v>52.5</v>
      </c>
      <c r="M24" s="76">
        <v>57.5</v>
      </c>
      <c r="N24" s="65" t="s">
        <v>88</v>
      </c>
      <c r="O24" s="68">
        <f>IF(ISBLANK(Table13[[#This Row],[BP1]]),"",MAX(Table13[[#This Row],[BP1]:[BP3]]))</f>
        <v>57.5</v>
      </c>
      <c r="P24" s="63">
        <v>112.5</v>
      </c>
      <c r="Q24" s="64">
        <v>122.5</v>
      </c>
      <c r="R24" s="64">
        <v>127.5</v>
      </c>
      <c r="S24" s="69">
        <f>IF(ISBLANK(Table13[[#This Row],[DL1]]),"",MAX(Table13[[#This Row],[DL1]:[DL3]]))</f>
        <v>127.5</v>
      </c>
      <c r="T24" s="70">
        <f>IF(ISBLANK(Table13[[#This Row],[BW]]),"",SUM(K24,O24,S24))</f>
        <v>280</v>
      </c>
      <c r="U24" s="81">
        <v>369.7</v>
      </c>
      <c r="V24" s="71">
        <f>IF(ISBLANK(Table13[[#This Row],[BW]]),"",9-ISTEXT(Table13[[#This Row],[SQ1]])-ISTEXT(Table13[[#This Row],[SQ2]])-ISTEXT(Table13[[#This Row],[SQ3]])-ISTEXT(Table13[[#This Row],[BP1]])-ISTEXT(Table13[[#This Row],[BP2]])-ISTEXT(Table13[[#This Row],[BP3]])-ISTEXT(Table13[[#This Row],[DL1]])-ISTEXT(Table13[[#This Row],[DL2]])-ISTEXT(Table13[[#This Row],[DL3]]))</f>
        <v>7</v>
      </c>
      <c r="W24" s="72"/>
      <c r="X24" s="82"/>
      <c r="Y24" s="85"/>
      <c r="Z24" s="8" t="e">
        <f>IF(Table13[[#This Row],[BW]]="","",500/($AD$7+$AD$8*AB24+$AD$9*AB24^2+$AD$10*AB24^3+$AD$11*AB24^4+$AD$12*AB24^5))</f>
        <v>#REF!</v>
      </c>
      <c r="AA24" s="23">
        <f>IF(Table13[[#This Row],[BW]]="","",SUM(K24,O24,S24)*$AD$14)</f>
        <v>280</v>
      </c>
      <c r="AB24" s="24">
        <f>IF(Table13[[#This Row],[BW]]="","",Table13[[#This Row],[BW]]*$AD$14)</f>
        <v>48.2</v>
      </c>
      <c r="AC24" s="24"/>
      <c r="AD24" s="24"/>
      <c r="AE24" s="24"/>
      <c r="AF24" s="24"/>
      <c r="AG24" s="24"/>
      <c r="AH24" s="24"/>
      <c r="AJ24" s="28" t="str">
        <f>IF(ISBLANK(Table13[[#This Row],[Name]]),"",Table13[[#This Row],[Name]])</f>
        <v>Amrita Panesar</v>
      </c>
      <c r="AK24" s="27" t="e">
        <f>IF(AND($AK$4,ISNUMBER(Table13[[#This Row],[BW]])),Table13[[#This Row],[BW]],NA())</f>
        <v>#N/A</v>
      </c>
      <c r="AL24" s="29" t="e">
        <f t="shared" si="1"/>
        <v>#N/A</v>
      </c>
      <c r="AM24" s="30" t="e">
        <f>IF(AND($AM$4,ISNUMBER(Table13[[#This Row],[MAXSQ]])),Table13[[#This Row],[MAXSQ]],NA())</f>
        <v>#N/A</v>
      </c>
      <c r="AN24" s="30" t="e">
        <f t="shared" si="2"/>
        <v>#N/A</v>
      </c>
      <c r="AO24" s="30" t="e">
        <f>IF(AND($AO$4,ISNUMBER(Table13[[#This Row],[MAXBN]])),Table13[[#This Row],[MAXBN]],NA())</f>
        <v>#N/A</v>
      </c>
      <c r="AP24" s="30" t="e">
        <f t="shared" si="3"/>
        <v>#N/A</v>
      </c>
      <c r="AQ24" s="30" t="e">
        <f>IF(AND($AQ$4,ISNUMBER(Table13[[#This Row],[MAXDL]])),Table13[[#This Row],[MAXDL]],NA())</f>
        <v>#N/A</v>
      </c>
      <c r="AR24" s="30" t="e">
        <f t="shared" si="4"/>
        <v>#N/A</v>
      </c>
      <c r="AS24" s="31" t="e">
        <f>IF(AND($AS$4,ISNUMBER(Table13[[#This Row],[TOTAL]])),Table13[[#This Row],[TOTAL]],NA())</f>
        <v>#N/A</v>
      </c>
      <c r="AT24" s="29" t="e">
        <f t="shared" si="5"/>
        <v>#N/A</v>
      </c>
      <c r="AU24" s="32" t="e">
        <f>IF(AND($AU$4,ISNUMBER(Table13[[#This Row],[Wilks]])),Table13[[#This Row],[Wilks]],NA())</f>
        <v>#N/A</v>
      </c>
      <c r="AV24" s="32" t="e">
        <f t="shared" si="6"/>
        <v>#N/A</v>
      </c>
    </row>
    <row r="25" spans="4:48" s="21" customFormat="1" ht="15" customHeight="1" x14ac:dyDescent="0.25">
      <c r="D25" s="61" t="s">
        <v>71</v>
      </c>
      <c r="E25" s="74" t="s">
        <v>60</v>
      </c>
      <c r="F25" s="74" t="s">
        <v>49</v>
      </c>
      <c r="G25" s="62">
        <v>84.9</v>
      </c>
      <c r="H25" s="63">
        <v>185</v>
      </c>
      <c r="I25" s="64">
        <v>197.5</v>
      </c>
      <c r="J25" s="65">
        <v>210</v>
      </c>
      <c r="K25" s="55">
        <f>IF(ISBLANK(Table13[[#This Row],[SQ1]]),"",MAX(Table13[[#This Row],[SQ1]:[SQ3]]))</f>
        <v>210</v>
      </c>
      <c r="L25" s="63">
        <v>107.5</v>
      </c>
      <c r="M25" s="64">
        <v>117.5</v>
      </c>
      <c r="N25" s="65" t="s">
        <v>99</v>
      </c>
      <c r="O25" s="55">
        <f>IF(ISBLANK(Table13[[#This Row],[BP1]]),"",MAX(Table13[[#This Row],[BP1]:[BP3]]))</f>
        <v>117.5</v>
      </c>
      <c r="P25" s="63">
        <v>205</v>
      </c>
      <c r="Q25" s="64">
        <v>227.5</v>
      </c>
      <c r="R25" s="64">
        <v>232.5</v>
      </c>
      <c r="S25" s="56">
        <f>IF(ISBLANK(Table13[[#This Row],[DL1]]),"",MAX(Table13[[#This Row],[DL1]:[DL3]]))</f>
        <v>232.5</v>
      </c>
      <c r="T25" s="57">
        <f>IF(ISBLANK(Table13[[#This Row],[BW]]),"",SUM(K25,O25,S25))</f>
        <v>560</v>
      </c>
      <c r="U25" s="80">
        <v>368.92</v>
      </c>
      <c r="V25" s="59">
        <f>IF(ISBLANK(Table13[[#This Row],[BW]]),"",9-ISTEXT(Table13[[#This Row],[SQ1]])-ISTEXT(Table13[[#This Row],[SQ2]])-ISTEXT(Table13[[#This Row],[SQ3]])-ISTEXT(Table13[[#This Row],[BP1]])-ISTEXT(Table13[[#This Row],[BP2]])-ISTEXT(Table13[[#This Row],[BP3]])-ISTEXT(Table13[[#This Row],[DL1]])-ISTEXT(Table13[[#This Row],[DL2]])-ISTEXT(Table13[[#This Row],[DL3]]))</f>
        <v>8</v>
      </c>
      <c r="W25" s="60">
        <v>7</v>
      </c>
      <c r="X25" s="82"/>
      <c r="Y25" s="85"/>
      <c r="Z25" s="8" t="e">
        <f>IF(Table13[[#This Row],[BW]]="","",500/($AD$7+$AD$8*AB25+$AD$9*AB25^2+$AD$10*AB25^3+$AD$11*AB25^4+$AD$12*AB25^5))</f>
        <v>#REF!</v>
      </c>
      <c r="AA25" s="23">
        <f>IF(Table13[[#This Row],[BW]]="","",SUM(K25,O25,S25)*$AD$14)</f>
        <v>560</v>
      </c>
      <c r="AB25" s="24">
        <f>IF(Table13[[#This Row],[BW]]="","",Table13[[#This Row],[BW]]*$AD$14)</f>
        <v>84.9</v>
      </c>
      <c r="AC25" s="24"/>
      <c r="AD25" s="24"/>
      <c r="AE25" s="24"/>
      <c r="AF25" s="24"/>
      <c r="AG25" s="24"/>
      <c r="AH25" s="24"/>
      <c r="AJ25" s="28" t="str">
        <f>IF(ISBLANK(Table13[[#This Row],[Name]]),"",Table13[[#This Row],[Name]])</f>
        <v>Diamor Marke</v>
      </c>
      <c r="AK25" s="27" t="e">
        <f>IF(AND($AK$4,ISNUMBER(Table13[[#This Row],[BW]])),Table13[[#This Row],[BW]],NA())</f>
        <v>#N/A</v>
      </c>
      <c r="AL25" s="29" t="e">
        <f t="shared" si="1"/>
        <v>#N/A</v>
      </c>
      <c r="AM25" s="30" t="e">
        <f>IF(AND($AM$4,ISNUMBER(Table13[[#This Row],[MAXSQ]])),Table13[[#This Row],[MAXSQ]],NA())</f>
        <v>#N/A</v>
      </c>
      <c r="AN25" s="30" t="e">
        <f t="shared" si="2"/>
        <v>#N/A</v>
      </c>
      <c r="AO25" s="30" t="e">
        <f>IF(AND($AO$4,ISNUMBER(Table13[[#This Row],[MAXBN]])),Table13[[#This Row],[MAXBN]],NA())</f>
        <v>#N/A</v>
      </c>
      <c r="AP25" s="30" t="e">
        <f t="shared" si="3"/>
        <v>#N/A</v>
      </c>
      <c r="AQ25" s="30" t="e">
        <f>IF(AND($AQ$4,ISNUMBER(Table13[[#This Row],[MAXDL]])),Table13[[#This Row],[MAXDL]],NA())</f>
        <v>#N/A</v>
      </c>
      <c r="AR25" s="30" t="e">
        <f t="shared" si="4"/>
        <v>#N/A</v>
      </c>
      <c r="AS25" s="31" t="e">
        <f>IF(AND($AS$4,ISNUMBER(Table13[[#This Row],[TOTAL]])),Table13[[#This Row],[TOTAL]],NA())</f>
        <v>#N/A</v>
      </c>
      <c r="AT25" s="29" t="e">
        <f t="shared" si="5"/>
        <v>#N/A</v>
      </c>
      <c r="AU25" s="32" t="e">
        <f>IF(AND($AU$4,ISNUMBER(Table13[[#This Row],[Wilks]])),Table13[[#This Row],[Wilks]],NA())</f>
        <v>#N/A</v>
      </c>
      <c r="AV25" s="32" t="e">
        <f t="shared" si="6"/>
        <v>#N/A</v>
      </c>
    </row>
    <row r="26" spans="4:48" s="21" customFormat="1" ht="15" customHeight="1" x14ac:dyDescent="0.25">
      <c r="D26" s="61" t="s">
        <v>50</v>
      </c>
      <c r="E26" s="74" t="s">
        <v>55</v>
      </c>
      <c r="F26" s="74" t="s">
        <v>49</v>
      </c>
      <c r="G26" s="62">
        <v>52.1</v>
      </c>
      <c r="H26" s="75">
        <v>95</v>
      </c>
      <c r="I26" s="76">
        <v>100</v>
      </c>
      <c r="J26" s="65">
        <v>105</v>
      </c>
      <c r="K26" s="55">
        <f>IF(ISBLANK(Table13[[#This Row],[SQ1]]),"",MAX(Table13[[#This Row],[SQ1]:[SQ3]]))</f>
        <v>105</v>
      </c>
      <c r="L26" s="75">
        <v>55</v>
      </c>
      <c r="M26" s="76">
        <v>57.5</v>
      </c>
      <c r="N26" s="77">
        <v>60</v>
      </c>
      <c r="O26" s="55">
        <f>IF(ISBLANK(Table13[[#This Row],[BP1]]),"",MAX(Table13[[#This Row],[BP1]:[BP3]]))</f>
        <v>60</v>
      </c>
      <c r="P26" s="63">
        <v>117.5</v>
      </c>
      <c r="Q26" s="64">
        <v>122.5</v>
      </c>
      <c r="R26" s="64">
        <v>127.5</v>
      </c>
      <c r="S26" s="56">
        <f>IF(ISBLANK(Table13[[#This Row],[DL1]]),"",MAX(Table13[[#This Row],[DL1]:[DL3]]))</f>
        <v>127.5</v>
      </c>
      <c r="T26" s="57">
        <f>IF(ISBLANK(Table13[[#This Row],[BW]]),"",SUM(K26,O26,S26))</f>
        <v>292.5</v>
      </c>
      <c r="U26" s="80">
        <v>364.1</v>
      </c>
      <c r="V26" s="59">
        <f>IF(ISBLANK(Table13[[#This Row],[BW]]),"",9-ISTEXT(Table13[[#This Row],[SQ1]])-ISTEXT(Table13[[#This Row],[SQ2]])-ISTEXT(Table13[[#This Row],[SQ3]])-ISTEXT(Table13[[#This Row],[BP1]])-ISTEXT(Table13[[#This Row],[BP2]])-ISTEXT(Table13[[#This Row],[BP3]])-ISTEXT(Table13[[#This Row],[DL1]])-ISTEXT(Table13[[#This Row],[DL2]])-ISTEXT(Table13[[#This Row],[DL3]]))</f>
        <v>9</v>
      </c>
      <c r="W26" s="60">
        <v>8</v>
      </c>
      <c r="X26" s="82"/>
      <c r="Y26" s="85"/>
      <c r="Z26" s="8" t="e">
        <f>IF(Table13[[#This Row],[BW]]="","",500/($AD$7+$AD$8*AB26+$AD$9*AB26^2+$AD$10*AB26^3+$AD$11*AB26^4+$AD$12*AB26^5))</f>
        <v>#REF!</v>
      </c>
      <c r="AA26" s="23">
        <f>IF(Table13[[#This Row],[BW]]="","",SUM(K26,O26,S26)*$AD$14)</f>
        <v>292.5</v>
      </c>
      <c r="AB26" s="24">
        <f>IF(Table13[[#This Row],[BW]]="","",Table13[[#This Row],[BW]]*$AD$14)</f>
        <v>52.1</v>
      </c>
      <c r="AC26" s="24"/>
      <c r="AD26" s="24"/>
      <c r="AE26" s="24"/>
      <c r="AF26" s="24"/>
      <c r="AG26" s="24"/>
      <c r="AH26" s="24"/>
      <c r="AJ26" s="28" t="str">
        <f>IF(ISBLANK(Table13[[#This Row],[Name]]),"",Table13[[#This Row],[Name]])</f>
        <v>Rebecca Ramjiawan</v>
      </c>
      <c r="AK26" s="27" t="e">
        <f>IF(AND($AK$4,ISNUMBER(Table13[[#This Row],[BW]])),Table13[[#This Row],[BW]],NA())</f>
        <v>#N/A</v>
      </c>
      <c r="AL26" s="29" t="e">
        <f t="shared" si="1"/>
        <v>#N/A</v>
      </c>
      <c r="AM26" s="30" t="e">
        <f>IF(AND($AM$4,ISNUMBER(Table13[[#This Row],[MAXSQ]])),Table13[[#This Row],[MAXSQ]],NA())</f>
        <v>#N/A</v>
      </c>
      <c r="AN26" s="30" t="e">
        <f t="shared" si="2"/>
        <v>#N/A</v>
      </c>
      <c r="AO26" s="30" t="e">
        <f>IF(AND($AO$4,ISNUMBER(Table13[[#This Row],[MAXBN]])),Table13[[#This Row],[MAXBN]],NA())</f>
        <v>#N/A</v>
      </c>
      <c r="AP26" s="30" t="e">
        <f t="shared" si="3"/>
        <v>#N/A</v>
      </c>
      <c r="AQ26" s="30" t="e">
        <f>IF(AND($AQ$4,ISNUMBER(Table13[[#This Row],[MAXDL]])),Table13[[#This Row],[MAXDL]],NA())</f>
        <v>#N/A</v>
      </c>
      <c r="AR26" s="30" t="e">
        <f t="shared" si="4"/>
        <v>#N/A</v>
      </c>
      <c r="AS26" s="31" t="e">
        <f>IF(AND($AS$4,ISNUMBER(Table13[[#This Row],[TOTAL]])),Table13[[#This Row],[TOTAL]],NA())</f>
        <v>#N/A</v>
      </c>
      <c r="AT26" s="29" t="e">
        <f t="shared" si="5"/>
        <v>#N/A</v>
      </c>
      <c r="AU26" s="32" t="e">
        <f>IF(AND($AU$4,ISNUMBER(Table13[[#This Row],[Wilks]])),Table13[[#This Row],[Wilks]],NA())</f>
        <v>#N/A</v>
      </c>
      <c r="AV26" s="32" t="e">
        <f t="shared" si="6"/>
        <v>#N/A</v>
      </c>
    </row>
    <row r="27" spans="4:48" s="21" customFormat="1" ht="15" customHeight="1" x14ac:dyDescent="0.25">
      <c r="D27" s="61" t="s">
        <v>63</v>
      </c>
      <c r="E27" s="74" t="s">
        <v>60</v>
      </c>
      <c r="F27" s="74" t="s">
        <v>49</v>
      </c>
      <c r="G27" s="62">
        <v>71.400000000000006</v>
      </c>
      <c r="H27" s="75">
        <v>170</v>
      </c>
      <c r="I27" s="76">
        <v>177.5</v>
      </c>
      <c r="J27" s="77">
        <v>182.5</v>
      </c>
      <c r="K27" s="55">
        <f>IF(ISBLANK(Table13[[#This Row],[SQ1]]),"",MAX(Table13[[#This Row],[SQ1]:[SQ3]]))</f>
        <v>182.5</v>
      </c>
      <c r="L27" s="75">
        <v>105</v>
      </c>
      <c r="M27" s="76">
        <v>110</v>
      </c>
      <c r="N27" s="77">
        <v>117.5</v>
      </c>
      <c r="O27" s="55">
        <f>IF(ISBLANK(Table13[[#This Row],[BP1]]),"",MAX(Table13[[#This Row],[BP1]:[BP3]]))</f>
        <v>117.5</v>
      </c>
      <c r="P27" s="63">
        <v>180</v>
      </c>
      <c r="Q27" s="64">
        <v>192.5</v>
      </c>
      <c r="R27" s="64" t="s">
        <v>104</v>
      </c>
      <c r="S27" s="56">
        <f>IF(ISBLANK(Table13[[#This Row],[DL1]]),"",MAX(Table13[[#This Row],[DL1]:[DL3]]))</f>
        <v>192.5</v>
      </c>
      <c r="T27" s="57">
        <f>IF(ISBLANK(Table13[[#This Row],[BW]]),"",SUM(K27,O27,S27))</f>
        <v>492.5</v>
      </c>
      <c r="U27" s="80">
        <v>363.6</v>
      </c>
      <c r="V27" s="59">
        <f>IF(ISBLANK(Table13[[#This Row],[BW]]),"",9-ISTEXT(Table13[[#This Row],[SQ1]])-ISTEXT(Table13[[#This Row],[SQ2]])-ISTEXT(Table13[[#This Row],[SQ3]])-ISTEXT(Table13[[#This Row],[BP1]])-ISTEXT(Table13[[#This Row],[BP2]])-ISTEXT(Table13[[#This Row],[BP3]])-ISTEXT(Table13[[#This Row],[DL1]])-ISTEXT(Table13[[#This Row],[DL2]])-ISTEXT(Table13[[#This Row],[DL3]]))</f>
        <v>8</v>
      </c>
      <c r="W27" s="60"/>
      <c r="X27" s="82"/>
      <c r="Y27" s="85"/>
      <c r="Z27" s="8" t="e">
        <f>IF(Table13[[#This Row],[BW]]="","",500/($AD$7+$AD$8*AB27+$AD$9*AB27^2+$AD$10*AB27^3+$AD$11*AB27^4+$AD$12*AB27^5))</f>
        <v>#REF!</v>
      </c>
      <c r="AA27" s="23">
        <f>IF(Table13[[#This Row],[BW]]="","",SUM(K27,O27,S27)*$AD$14)</f>
        <v>492.5</v>
      </c>
      <c r="AB27" s="24">
        <f>IF(Table13[[#This Row],[BW]]="","",Table13[[#This Row],[BW]]*$AD$14)</f>
        <v>71.400000000000006</v>
      </c>
      <c r="AC27" s="24"/>
      <c r="AD27" s="24"/>
      <c r="AE27" s="24"/>
      <c r="AF27" s="24"/>
      <c r="AG27" s="24"/>
      <c r="AH27" s="24"/>
      <c r="AJ27" s="28" t="str">
        <f>IF(ISBLANK(Table13[[#This Row],[Name]]),"",Table13[[#This Row],[Name]])</f>
        <v>Diego Granziol</v>
      </c>
      <c r="AK27" s="27" t="e">
        <f>IF(AND($AK$4,ISNUMBER(Table13[[#This Row],[BW]])),Table13[[#This Row],[BW]],NA())</f>
        <v>#N/A</v>
      </c>
      <c r="AL27" s="29" t="e">
        <f t="shared" si="1"/>
        <v>#N/A</v>
      </c>
      <c r="AM27" s="30" t="e">
        <f>IF(AND($AM$4,ISNUMBER(Table13[[#This Row],[MAXSQ]])),Table13[[#This Row],[MAXSQ]],NA())</f>
        <v>#N/A</v>
      </c>
      <c r="AN27" s="30" t="e">
        <f t="shared" si="2"/>
        <v>#N/A</v>
      </c>
      <c r="AO27" s="30" t="e">
        <f>IF(AND($AO$4,ISNUMBER(Table13[[#This Row],[MAXBN]])),Table13[[#This Row],[MAXBN]],NA())</f>
        <v>#N/A</v>
      </c>
      <c r="AP27" s="30" t="e">
        <f t="shared" si="3"/>
        <v>#N/A</v>
      </c>
      <c r="AQ27" s="30" t="e">
        <f>IF(AND($AQ$4,ISNUMBER(Table13[[#This Row],[MAXDL]])),Table13[[#This Row],[MAXDL]],NA())</f>
        <v>#N/A</v>
      </c>
      <c r="AR27" s="30" t="e">
        <f t="shared" si="4"/>
        <v>#N/A</v>
      </c>
      <c r="AS27" s="31" t="e">
        <f>IF(AND($AS$4,ISNUMBER(Table13[[#This Row],[TOTAL]])),Table13[[#This Row],[TOTAL]],NA())</f>
        <v>#N/A</v>
      </c>
      <c r="AT27" s="29" t="e">
        <f t="shared" si="5"/>
        <v>#N/A</v>
      </c>
      <c r="AU27" s="32" t="e">
        <f>IF(AND($AU$4,ISNUMBER(Table13[[#This Row],[Wilks]])),Table13[[#This Row],[Wilks]],NA())</f>
        <v>#N/A</v>
      </c>
      <c r="AV27" s="32" t="e">
        <f t="shared" si="6"/>
        <v>#N/A</v>
      </c>
    </row>
    <row r="28" spans="4:48" s="21" customFormat="1" ht="15" customHeight="1" x14ac:dyDescent="0.25">
      <c r="D28" s="61" t="s">
        <v>78</v>
      </c>
      <c r="E28" s="74" t="s">
        <v>79</v>
      </c>
      <c r="F28" s="74" t="s">
        <v>48</v>
      </c>
      <c r="G28" s="62">
        <v>94.9</v>
      </c>
      <c r="H28" s="63">
        <v>190</v>
      </c>
      <c r="I28" s="64">
        <v>200</v>
      </c>
      <c r="J28" s="65">
        <v>210</v>
      </c>
      <c r="K28" s="55">
        <f>IF(ISBLANK(Table13[[#This Row],[SQ1]]),"",MAX(Table13[[#This Row],[SQ1]:[SQ3]]))</f>
        <v>210</v>
      </c>
      <c r="L28" s="40">
        <v>112.5</v>
      </c>
      <c r="M28" s="2">
        <v>117.5</v>
      </c>
      <c r="N28" s="48">
        <v>122.5</v>
      </c>
      <c r="O28" s="51">
        <f>IF(ISBLANK(Table13[[#This Row],[BP1]]),"",MAX(Table13[[#This Row],[BP1]:[BP3]]))</f>
        <v>122.5</v>
      </c>
      <c r="P28" s="40">
        <v>225</v>
      </c>
      <c r="Q28" s="2">
        <v>237.5</v>
      </c>
      <c r="R28" s="2">
        <v>250</v>
      </c>
      <c r="S28" s="43">
        <f>IF(ISBLANK(Table13[[#This Row],[DL1]]),"",MAX(Table13[[#This Row],[DL1]:[DL3]]))</f>
        <v>250</v>
      </c>
      <c r="T28" s="26">
        <f>IF(ISBLANK(Table13[[#This Row],[BW]]),"",SUM(K28,O28,S28))</f>
        <v>582.5</v>
      </c>
      <c r="U28" s="81">
        <v>362.5</v>
      </c>
      <c r="V28" s="39">
        <f>IF(ISBLANK(Table13[[#This Row],[BW]]),"",9-ISTEXT(Table13[[#This Row],[SQ1]])-ISTEXT(Table13[[#This Row],[SQ2]])-ISTEXT(Table13[[#This Row],[SQ3]])-ISTEXT(Table13[[#This Row],[BP1]])-ISTEXT(Table13[[#This Row],[BP2]])-ISTEXT(Table13[[#This Row],[BP3]])-ISTEXT(Table13[[#This Row],[DL1]])-ISTEXT(Table13[[#This Row],[DL2]])-ISTEXT(Table13[[#This Row],[DL3]]))</f>
        <v>9</v>
      </c>
      <c r="W28" s="54"/>
      <c r="X28" s="82"/>
      <c r="Y28" s="85"/>
      <c r="Z28" s="8" t="e">
        <f>IF(Table13[[#This Row],[BW]]="","",500/($AD$7+$AD$8*AB28+$AD$9*AB28^2+$AD$10*AB28^3+$AD$11*AB28^4+$AD$12*AB28^5))</f>
        <v>#REF!</v>
      </c>
      <c r="AA28" s="23">
        <f>IF(Table13[[#This Row],[BW]]="","",SUM(K28,O28,S28)*$AD$14)</f>
        <v>582.5</v>
      </c>
      <c r="AB28" s="24">
        <f>IF(Table13[[#This Row],[BW]]="","",Table13[[#This Row],[BW]]*$AD$14)</f>
        <v>94.9</v>
      </c>
      <c r="AC28" s="37"/>
      <c r="AD28" s="37"/>
      <c r="AE28" s="37"/>
      <c r="AF28" s="37"/>
      <c r="AG28" s="37"/>
      <c r="AH28" s="37"/>
      <c r="AJ28" s="28" t="str">
        <f>IF(ISBLANK(Table13[[#This Row],[Name]]),"",Table13[[#This Row],[Name]])</f>
        <v xml:space="preserve">Ka Chun Wan </v>
      </c>
      <c r="AK28" s="27" t="e">
        <f>IF(AND($AK$4,ISNUMBER(Table13[[#This Row],[BW]])),Table13[[#This Row],[BW]],NA())</f>
        <v>#N/A</v>
      </c>
      <c r="AL28" s="29" t="e">
        <f t="shared" si="1"/>
        <v>#N/A</v>
      </c>
      <c r="AM28" s="30" t="e">
        <f>IF(AND($AM$4,ISNUMBER(Table13[[#This Row],[MAXSQ]])),Table13[[#This Row],[MAXSQ]],NA())</f>
        <v>#N/A</v>
      </c>
      <c r="AN28" s="30" t="e">
        <f t="shared" si="2"/>
        <v>#N/A</v>
      </c>
      <c r="AO28" s="30" t="e">
        <f>IF(AND($AO$4,ISNUMBER(Table13[[#This Row],[MAXBN]])),Table13[[#This Row],[MAXBN]],NA())</f>
        <v>#N/A</v>
      </c>
      <c r="AP28" s="30" t="e">
        <f t="shared" si="3"/>
        <v>#N/A</v>
      </c>
      <c r="AQ28" s="30" t="e">
        <f>IF(AND($AQ$4,ISNUMBER(Table13[[#This Row],[MAXDL]])),Table13[[#This Row],[MAXDL]],NA())</f>
        <v>#N/A</v>
      </c>
      <c r="AR28" s="30" t="e">
        <f t="shared" si="4"/>
        <v>#N/A</v>
      </c>
      <c r="AS28" s="31" t="e">
        <f>IF(AND($AS$4,ISNUMBER(Table13[[#This Row],[TOTAL]])),Table13[[#This Row],[TOTAL]],NA())</f>
        <v>#N/A</v>
      </c>
      <c r="AT28" s="29" t="e">
        <f t="shared" si="5"/>
        <v>#N/A</v>
      </c>
      <c r="AU28" s="32" t="e">
        <f>IF(AND($AU$4,ISNUMBER(Table13[[#This Row],[Wilks]])),Table13[[#This Row],[Wilks]],NA())</f>
        <v>#N/A</v>
      </c>
      <c r="AV28" s="32" t="e">
        <f t="shared" si="6"/>
        <v>#N/A</v>
      </c>
    </row>
    <row r="29" spans="4:48" s="21" customFormat="1" ht="15" customHeight="1" x14ac:dyDescent="0.25">
      <c r="D29" s="61" t="s">
        <v>56</v>
      </c>
      <c r="E29" s="74" t="s">
        <v>55</v>
      </c>
      <c r="F29" s="74" t="s">
        <v>48</v>
      </c>
      <c r="G29" s="62">
        <v>61.3</v>
      </c>
      <c r="H29" s="75">
        <v>117.5</v>
      </c>
      <c r="I29" s="76">
        <v>122.5</v>
      </c>
      <c r="J29" s="65" t="s">
        <v>92</v>
      </c>
      <c r="K29" s="55">
        <f>IF(ISBLANK(Table13[[#This Row],[SQ1]]),"",MAX(Table13[[#This Row],[SQ1]:[SQ3]]))</f>
        <v>122.5</v>
      </c>
      <c r="L29" s="75">
        <v>57.5</v>
      </c>
      <c r="M29" s="76">
        <v>60</v>
      </c>
      <c r="N29" s="77">
        <v>62.5</v>
      </c>
      <c r="O29" s="55">
        <f>IF(ISBLANK(Table13[[#This Row],[BP1]]),"",MAX(Table13[[#This Row],[BP1]:[BP3]]))</f>
        <v>62.5</v>
      </c>
      <c r="P29" s="63">
        <v>145</v>
      </c>
      <c r="Q29" s="64" t="s">
        <v>103</v>
      </c>
      <c r="R29" s="64" t="s">
        <v>103</v>
      </c>
      <c r="S29" s="56">
        <f>IF(ISBLANK(Table13[[#This Row],[DL1]]),"",MAX(Table13[[#This Row],[DL1]:[DL3]]))</f>
        <v>145</v>
      </c>
      <c r="T29" s="57">
        <f>IF(ISBLANK(Table13[[#This Row],[BW]]),"",SUM(K29,O29,S29))</f>
        <v>330</v>
      </c>
      <c r="U29" s="81">
        <v>361.88</v>
      </c>
      <c r="V29" s="59">
        <f>IF(ISBLANK(Table13[[#This Row],[BW]]),"",9-ISTEXT(Table13[[#This Row],[SQ1]])-ISTEXT(Table13[[#This Row],[SQ2]])-ISTEXT(Table13[[#This Row],[SQ3]])-ISTEXT(Table13[[#This Row],[BP1]])-ISTEXT(Table13[[#This Row],[BP2]])-ISTEXT(Table13[[#This Row],[BP3]])-ISTEXT(Table13[[#This Row],[DL1]])-ISTEXT(Table13[[#This Row],[DL2]])-ISTEXT(Table13[[#This Row],[DL3]]))</f>
        <v>6</v>
      </c>
      <c r="W29" s="60"/>
      <c r="X29" s="82"/>
      <c r="Y29" s="85"/>
      <c r="Z29" s="8" t="e">
        <f>IF(Table13[[#This Row],[BW]]="","",500/($AD$7+$AD$8*AB29+$AD$9*AB29^2+$AD$10*AB29^3+$AD$11*AB29^4+$AD$12*AB29^5))</f>
        <v>#REF!</v>
      </c>
      <c r="AA29" s="23">
        <f>IF(Table13[[#This Row],[BW]]="","",SUM(K29,O29,S29)*$AD$14)</f>
        <v>330</v>
      </c>
      <c r="AB29" s="24">
        <f>IF(Table13[[#This Row],[BW]]="","",Table13[[#This Row],[BW]]*$AD$14)</f>
        <v>61.3</v>
      </c>
      <c r="AC29" s="24"/>
      <c r="AD29" s="24"/>
      <c r="AE29" s="24"/>
      <c r="AF29" s="24"/>
      <c r="AG29" s="24"/>
      <c r="AH29" s="24"/>
      <c r="AJ29" s="28" t="str">
        <f>IF(ISBLANK(Table13[[#This Row],[Name]]),"",Table13[[#This Row],[Name]])</f>
        <v>Lucy Hart</v>
      </c>
      <c r="AK29" s="27" t="e">
        <f>IF(AND($AK$4,ISNUMBER(Table13[[#This Row],[BW]])),Table13[[#This Row],[BW]],NA())</f>
        <v>#N/A</v>
      </c>
      <c r="AL29" s="29" t="e">
        <f t="shared" si="1"/>
        <v>#N/A</v>
      </c>
      <c r="AM29" s="30" t="e">
        <f>IF(AND($AM$4,ISNUMBER(Table13[[#This Row],[MAXSQ]])),Table13[[#This Row],[MAXSQ]],NA())</f>
        <v>#N/A</v>
      </c>
      <c r="AN29" s="30" t="e">
        <f t="shared" si="2"/>
        <v>#N/A</v>
      </c>
      <c r="AO29" s="30" t="e">
        <f>IF(AND($AO$4,ISNUMBER(Table13[[#This Row],[MAXBN]])),Table13[[#This Row],[MAXBN]],NA())</f>
        <v>#N/A</v>
      </c>
      <c r="AP29" s="30" t="e">
        <f t="shared" si="3"/>
        <v>#N/A</v>
      </c>
      <c r="AQ29" s="30" t="e">
        <f>IF(AND($AQ$4,ISNUMBER(Table13[[#This Row],[MAXDL]])),Table13[[#This Row],[MAXDL]],NA())</f>
        <v>#N/A</v>
      </c>
      <c r="AR29" s="30" t="e">
        <f t="shared" si="4"/>
        <v>#N/A</v>
      </c>
      <c r="AS29" s="31" t="e">
        <f>IF(AND($AS$4,ISNUMBER(Table13[[#This Row],[TOTAL]])),Table13[[#This Row],[TOTAL]],NA())</f>
        <v>#N/A</v>
      </c>
      <c r="AT29" s="29" t="e">
        <f t="shared" si="5"/>
        <v>#N/A</v>
      </c>
      <c r="AU29" s="32" t="e">
        <f>IF(AND($AU$4,ISNUMBER(Table13[[#This Row],[Wilks]])),Table13[[#This Row],[Wilks]],NA())</f>
        <v>#N/A</v>
      </c>
      <c r="AV29" s="32" t="e">
        <f t="shared" si="6"/>
        <v>#N/A</v>
      </c>
    </row>
    <row r="30" spans="4:48" s="21" customFormat="1" ht="15" customHeight="1" x14ac:dyDescent="0.25">
      <c r="D30" s="61" t="s">
        <v>61</v>
      </c>
      <c r="E30" s="74" t="s">
        <v>60</v>
      </c>
      <c r="F30" s="74" t="s">
        <v>49</v>
      </c>
      <c r="G30" s="62">
        <v>64.900000000000006</v>
      </c>
      <c r="H30" s="75">
        <v>140</v>
      </c>
      <c r="I30" s="76">
        <v>147.5</v>
      </c>
      <c r="J30" s="65" t="s">
        <v>93</v>
      </c>
      <c r="K30" s="55">
        <f>IF(ISBLANK(Table13[[#This Row],[SQ1]]),"",MAX(Table13[[#This Row],[SQ1]:[SQ3]]))</f>
        <v>147.5</v>
      </c>
      <c r="L30" s="75">
        <v>105</v>
      </c>
      <c r="M30" s="76">
        <v>110</v>
      </c>
      <c r="N30" s="65" t="s">
        <v>91</v>
      </c>
      <c r="O30" s="55">
        <f>IF(ISBLANK(Table13[[#This Row],[BP1]]),"",MAX(Table13[[#This Row],[BP1]:[BP3]]))</f>
        <v>110</v>
      </c>
      <c r="P30" s="63">
        <v>170</v>
      </c>
      <c r="Q30" s="64">
        <v>185</v>
      </c>
      <c r="R30" s="64">
        <v>192.5</v>
      </c>
      <c r="S30" s="56">
        <f>IF(ISBLANK(Table13[[#This Row],[DL1]]),"",MAX(Table13[[#This Row],[DL1]:[DL3]]))</f>
        <v>192.5</v>
      </c>
      <c r="T30" s="57">
        <f>IF(ISBLANK(Table13[[#This Row],[BW]]),"",SUM(K30,O30,S30))</f>
        <v>450</v>
      </c>
      <c r="U30" s="80">
        <v>358.3</v>
      </c>
      <c r="V30" s="59">
        <f>IF(ISBLANK(Table13[[#This Row],[BW]]),"",9-ISTEXT(Table13[[#This Row],[SQ1]])-ISTEXT(Table13[[#This Row],[SQ2]])-ISTEXT(Table13[[#This Row],[SQ3]])-ISTEXT(Table13[[#This Row],[BP1]])-ISTEXT(Table13[[#This Row],[BP2]])-ISTEXT(Table13[[#This Row],[BP3]])-ISTEXT(Table13[[#This Row],[DL1]])-ISTEXT(Table13[[#This Row],[DL2]])-ISTEXT(Table13[[#This Row],[DL3]]))</f>
        <v>7</v>
      </c>
      <c r="W30" s="60"/>
      <c r="X30" s="82"/>
      <c r="Y30" s="85"/>
      <c r="Z30" s="8" t="e">
        <f>IF(Table13[[#This Row],[BW]]="","",500/($AD$7+$AD$8*AB30+$AD$9*AB30^2+$AD$10*AB30^3+$AD$11*AB30^4+$AD$12*AB30^5))</f>
        <v>#REF!</v>
      </c>
      <c r="AA30" s="23">
        <f>IF(Table13[[#This Row],[BW]]="","",SUM(K30,O30,S30)*$AD$14)</f>
        <v>450</v>
      </c>
      <c r="AB30" s="24">
        <f>IF(Table13[[#This Row],[BW]]="","",Table13[[#This Row],[BW]]*$AD$14)</f>
        <v>64.900000000000006</v>
      </c>
      <c r="AC30" s="24"/>
      <c r="AD30" s="24"/>
      <c r="AE30" s="24"/>
      <c r="AF30" s="24"/>
      <c r="AG30" s="24"/>
      <c r="AH30" s="24"/>
      <c r="AJ30" s="28" t="str">
        <f>IF(ISBLANK(Table13[[#This Row],[Name]]),"",Table13[[#This Row],[Name]])</f>
        <v>Diptharko Chowdhury</v>
      </c>
      <c r="AK30" s="27" t="e">
        <f>IF(AND($AK$4,ISNUMBER(Table13[[#This Row],[BW]])),Table13[[#This Row],[BW]],NA())</f>
        <v>#N/A</v>
      </c>
      <c r="AL30" s="29" t="e">
        <f t="shared" si="1"/>
        <v>#N/A</v>
      </c>
      <c r="AM30" s="30" t="e">
        <f>IF(AND($AM$4,ISNUMBER(Table13[[#This Row],[MAXSQ]])),Table13[[#This Row],[MAXSQ]],NA())</f>
        <v>#N/A</v>
      </c>
      <c r="AN30" s="30" t="e">
        <f t="shared" si="2"/>
        <v>#N/A</v>
      </c>
      <c r="AO30" s="30" t="e">
        <f>IF(AND($AO$4,ISNUMBER(Table13[[#This Row],[MAXBN]])),Table13[[#This Row],[MAXBN]],NA())</f>
        <v>#N/A</v>
      </c>
      <c r="AP30" s="30" t="e">
        <f t="shared" si="3"/>
        <v>#N/A</v>
      </c>
      <c r="AQ30" s="30" t="e">
        <f>IF(AND($AQ$4,ISNUMBER(Table13[[#This Row],[MAXDL]])),Table13[[#This Row],[MAXDL]],NA())</f>
        <v>#N/A</v>
      </c>
      <c r="AR30" s="30" t="e">
        <f t="shared" si="4"/>
        <v>#N/A</v>
      </c>
      <c r="AS30" s="31" t="e">
        <f>IF(AND($AS$4,ISNUMBER(Table13[[#This Row],[TOTAL]])),Table13[[#This Row],[TOTAL]],NA())</f>
        <v>#N/A</v>
      </c>
      <c r="AT30" s="29" t="e">
        <f t="shared" si="5"/>
        <v>#N/A</v>
      </c>
      <c r="AU30" s="32" t="e">
        <f>IF(AND($AU$4,ISNUMBER(Table13[[#This Row],[Wilks]])),Table13[[#This Row],[Wilks]],NA())</f>
        <v>#N/A</v>
      </c>
      <c r="AV30" s="32" t="e">
        <f t="shared" si="6"/>
        <v>#N/A</v>
      </c>
    </row>
    <row r="31" spans="4:48" s="21" customFormat="1" ht="15" customHeight="1" x14ac:dyDescent="0.25">
      <c r="D31" s="61" t="s">
        <v>77</v>
      </c>
      <c r="E31" s="74" t="s">
        <v>60</v>
      </c>
      <c r="F31" s="74" t="s">
        <v>48</v>
      </c>
      <c r="G31" s="62">
        <v>93.4</v>
      </c>
      <c r="H31" s="63">
        <v>175</v>
      </c>
      <c r="I31" s="64">
        <v>185</v>
      </c>
      <c r="J31" s="65">
        <v>192.5</v>
      </c>
      <c r="K31" s="55">
        <f>IF(ISBLANK(Table13[[#This Row],[SQ1]]),"",MAX(Table13[[#This Row],[SQ1]:[SQ3]]))</f>
        <v>192.5</v>
      </c>
      <c r="L31" s="40">
        <v>120</v>
      </c>
      <c r="M31" s="2">
        <v>127.5</v>
      </c>
      <c r="N31" s="48" t="s">
        <v>100</v>
      </c>
      <c r="O31" s="51">
        <f>IF(ISBLANK(Table13[[#This Row],[BP1]]),"",MAX(Table13[[#This Row],[BP1]:[BP3]]))</f>
        <v>127.5</v>
      </c>
      <c r="P31" s="40">
        <v>225</v>
      </c>
      <c r="Q31" s="2">
        <v>237.5</v>
      </c>
      <c r="R31" s="2">
        <v>250</v>
      </c>
      <c r="S31" s="43">
        <f>IF(ISBLANK(Table13[[#This Row],[DL1]]),"",MAX(Table13[[#This Row],[DL1]:[DL3]]))</f>
        <v>250</v>
      </c>
      <c r="T31" s="26">
        <f>IF(ISBLANK(Table13[[#This Row],[BW]]),"",SUM(K31,O31,S31))</f>
        <v>570</v>
      </c>
      <c r="U31" s="81">
        <v>357.34</v>
      </c>
      <c r="V31" s="39">
        <f>IF(ISBLANK(Table13[[#This Row],[BW]]),"",9-ISTEXT(Table13[[#This Row],[SQ1]])-ISTEXT(Table13[[#This Row],[SQ2]])-ISTEXT(Table13[[#This Row],[SQ3]])-ISTEXT(Table13[[#This Row],[BP1]])-ISTEXT(Table13[[#This Row],[BP2]])-ISTEXT(Table13[[#This Row],[BP3]])-ISTEXT(Table13[[#This Row],[DL1]])-ISTEXT(Table13[[#This Row],[DL2]])-ISTEXT(Table13[[#This Row],[DL3]]))</f>
        <v>8</v>
      </c>
      <c r="W31" s="54"/>
      <c r="X31" s="82"/>
      <c r="Y31" s="85"/>
      <c r="Z31" s="8" t="e">
        <f>IF(Table13[[#This Row],[BW]]="","",500/($AD$7+$AD$8*AB31+$AD$9*AB31^2+$AD$10*AB31^3+$AD$11*AB31^4+$AD$12*AB31^5))</f>
        <v>#REF!</v>
      </c>
      <c r="AA31" s="23">
        <f>IF(Table13[[#This Row],[BW]]="","",SUM(K31,O31,S31)*$AD$14)</f>
        <v>570</v>
      </c>
      <c r="AB31" s="24">
        <f>IF(Table13[[#This Row],[BW]]="","",Table13[[#This Row],[BW]]*$AD$14)</f>
        <v>93.4</v>
      </c>
      <c r="AC31" s="24"/>
      <c r="AD31" s="24"/>
      <c r="AE31" s="24"/>
      <c r="AF31" s="24"/>
      <c r="AG31" s="24"/>
      <c r="AH31" s="24"/>
      <c r="AJ31" s="28" t="str">
        <f>IF(ISBLANK(Table13[[#This Row],[Name]]),"",Table13[[#This Row],[Name]])</f>
        <v xml:space="preserve">Adam Rochussen </v>
      </c>
      <c r="AK31" s="27" t="e">
        <f>IF(AND($AK$4,ISNUMBER(Table13[[#This Row],[BW]])),Table13[[#This Row],[BW]],NA())</f>
        <v>#N/A</v>
      </c>
      <c r="AL31" s="29" t="e">
        <f t="shared" si="1"/>
        <v>#N/A</v>
      </c>
      <c r="AM31" s="30" t="e">
        <f>IF(AND($AM$4,ISNUMBER(Table13[[#This Row],[MAXSQ]])),Table13[[#This Row],[MAXSQ]],NA())</f>
        <v>#N/A</v>
      </c>
      <c r="AN31" s="30" t="e">
        <f t="shared" si="2"/>
        <v>#N/A</v>
      </c>
      <c r="AO31" s="30" t="e">
        <f>IF(AND($AO$4,ISNUMBER(Table13[[#This Row],[MAXBN]])),Table13[[#This Row],[MAXBN]],NA())</f>
        <v>#N/A</v>
      </c>
      <c r="AP31" s="30" t="e">
        <f t="shared" si="3"/>
        <v>#N/A</v>
      </c>
      <c r="AQ31" s="30" t="e">
        <f>IF(AND($AQ$4,ISNUMBER(Table13[[#This Row],[MAXDL]])),Table13[[#This Row],[MAXDL]],NA())</f>
        <v>#N/A</v>
      </c>
      <c r="AR31" s="30" t="e">
        <f t="shared" si="4"/>
        <v>#N/A</v>
      </c>
      <c r="AS31" s="31" t="e">
        <f>IF(AND($AS$4,ISNUMBER(Table13[[#This Row],[TOTAL]])),Table13[[#This Row],[TOTAL]],NA())</f>
        <v>#N/A</v>
      </c>
      <c r="AT31" s="29" t="e">
        <f t="shared" si="5"/>
        <v>#N/A</v>
      </c>
      <c r="AU31" s="32" t="e">
        <f>IF(AND($AU$4,ISNUMBER(Table13[[#This Row],[Wilks]])),Table13[[#This Row],[Wilks]],NA())</f>
        <v>#N/A</v>
      </c>
      <c r="AV31" s="32" t="e">
        <f t="shared" si="6"/>
        <v>#N/A</v>
      </c>
    </row>
    <row r="32" spans="4:48" s="21" customFormat="1" ht="15" customHeight="1" x14ac:dyDescent="0.25">
      <c r="D32" s="61" t="s">
        <v>76</v>
      </c>
      <c r="E32" s="74" t="s">
        <v>60</v>
      </c>
      <c r="F32" s="74" t="s">
        <v>48</v>
      </c>
      <c r="G32" s="62">
        <v>90</v>
      </c>
      <c r="H32" s="75">
        <v>165</v>
      </c>
      <c r="I32" s="64">
        <v>172.5</v>
      </c>
      <c r="J32" s="65">
        <v>180</v>
      </c>
      <c r="K32" s="55">
        <f>IF(ISBLANK(Table13[[#This Row],[SQ1]]),"",MAX(Table13[[#This Row],[SQ1]:[SQ3]]))</f>
        <v>180</v>
      </c>
      <c r="L32" s="40">
        <v>112.5</v>
      </c>
      <c r="M32" s="2">
        <v>117.5</v>
      </c>
      <c r="N32" s="48">
        <v>120</v>
      </c>
      <c r="O32" s="51">
        <f>IF(ISBLANK(Table13[[#This Row],[BP1]]),"",MAX(Table13[[#This Row],[BP1]:[BP3]]))</f>
        <v>120</v>
      </c>
      <c r="P32" s="40">
        <v>240</v>
      </c>
      <c r="Q32" s="2">
        <v>250</v>
      </c>
      <c r="R32" s="2" t="s">
        <v>106</v>
      </c>
      <c r="S32" s="43">
        <f>IF(ISBLANK(Table13[[#This Row],[DL1]]),"",MAX(Table13[[#This Row],[DL1]:[DL3]]))</f>
        <v>250</v>
      </c>
      <c r="T32" s="26">
        <f>IF(ISBLANK(Table13[[#This Row],[BW]]),"",SUM(K32,O32,S32))</f>
        <v>550</v>
      </c>
      <c r="U32" s="81">
        <v>351.12</v>
      </c>
      <c r="V32" s="39">
        <f>IF(ISBLANK(Table13[[#This Row],[BW]]),"",9-ISTEXT(Table13[[#This Row],[SQ1]])-ISTEXT(Table13[[#This Row],[SQ2]])-ISTEXT(Table13[[#This Row],[SQ3]])-ISTEXT(Table13[[#This Row],[BP1]])-ISTEXT(Table13[[#This Row],[BP2]])-ISTEXT(Table13[[#This Row],[BP3]])-ISTEXT(Table13[[#This Row],[DL1]])-ISTEXT(Table13[[#This Row],[DL2]])-ISTEXT(Table13[[#This Row],[DL3]]))</f>
        <v>8</v>
      </c>
      <c r="W32" s="54"/>
      <c r="X32" s="82"/>
      <c r="Y32" s="85"/>
      <c r="Z32" s="8" t="e">
        <f>IF(Table13[[#This Row],[BW]]="","",500/($AD$7+$AD$8*AB32+$AD$9*AB32^2+$AD$10*AB32^3+$AD$11*AB32^4+$AD$12*AB32^5))</f>
        <v>#REF!</v>
      </c>
      <c r="AA32" s="23">
        <f>IF(Table13[[#This Row],[BW]]="","",SUM(K32,O32,S32)*$AD$14)</f>
        <v>550</v>
      </c>
      <c r="AB32" s="24">
        <f>IF(Table13[[#This Row],[BW]]="","",Table13[[#This Row],[BW]]*$AD$14)</f>
        <v>90</v>
      </c>
      <c r="AC32" s="24"/>
      <c r="AD32" s="24"/>
      <c r="AE32" s="24"/>
      <c r="AF32" s="24"/>
      <c r="AG32" s="24"/>
      <c r="AH32" s="24"/>
      <c r="AJ32" s="28" t="str">
        <f>IF(ISBLANK(Table13[[#This Row],[Name]]),"",Table13[[#This Row],[Name]])</f>
        <v xml:space="preserve">Elliot Vaughn </v>
      </c>
      <c r="AK32" s="27" t="e">
        <f>IF(AND($AK$4,ISNUMBER(Table13[[#This Row],[BW]])),Table13[[#This Row],[BW]],NA())</f>
        <v>#N/A</v>
      </c>
      <c r="AL32" s="29" t="e">
        <f t="shared" si="1"/>
        <v>#N/A</v>
      </c>
      <c r="AM32" s="30" t="e">
        <f>IF(AND($AM$4,ISNUMBER(Table13[[#This Row],[MAXSQ]])),Table13[[#This Row],[MAXSQ]],NA())</f>
        <v>#N/A</v>
      </c>
      <c r="AN32" s="30" t="e">
        <f t="shared" si="2"/>
        <v>#N/A</v>
      </c>
      <c r="AO32" s="30" t="e">
        <f>IF(AND($AO$4,ISNUMBER(Table13[[#This Row],[MAXBN]])),Table13[[#This Row],[MAXBN]],NA())</f>
        <v>#N/A</v>
      </c>
      <c r="AP32" s="30" t="e">
        <f t="shared" si="3"/>
        <v>#N/A</v>
      </c>
      <c r="AQ32" s="30" t="e">
        <f>IF(AND($AQ$4,ISNUMBER(Table13[[#This Row],[MAXDL]])),Table13[[#This Row],[MAXDL]],NA())</f>
        <v>#N/A</v>
      </c>
      <c r="AR32" s="30" t="e">
        <f t="shared" si="4"/>
        <v>#N/A</v>
      </c>
      <c r="AS32" s="31" t="e">
        <f>IF(AND($AS$4,ISNUMBER(Table13[[#This Row],[TOTAL]])),Table13[[#This Row],[TOTAL]],NA())</f>
        <v>#N/A</v>
      </c>
      <c r="AT32" s="29" t="e">
        <f t="shared" si="5"/>
        <v>#N/A</v>
      </c>
      <c r="AU32" s="32" t="e">
        <f>IF(AND($AU$4,ISNUMBER(Table13[[#This Row],[Wilks]])),Table13[[#This Row],[Wilks]],NA())</f>
        <v>#N/A</v>
      </c>
      <c r="AV32" s="32" t="e">
        <f t="shared" si="6"/>
        <v>#N/A</v>
      </c>
    </row>
    <row r="33" spans="4:48" s="21" customFormat="1" ht="15" customHeight="1" x14ac:dyDescent="0.25">
      <c r="D33" s="61" t="s">
        <v>58</v>
      </c>
      <c r="E33" s="74" t="s">
        <v>55</v>
      </c>
      <c r="F33" s="74" t="s">
        <v>49</v>
      </c>
      <c r="G33" s="62">
        <v>61.8</v>
      </c>
      <c r="H33" s="75">
        <v>100</v>
      </c>
      <c r="I33" s="76">
        <v>107.5</v>
      </c>
      <c r="J33" s="65" t="s">
        <v>91</v>
      </c>
      <c r="K33" s="55">
        <f>IF(ISBLANK(Table13[[#This Row],[SQ1]]),"",MAX(Table13[[#This Row],[SQ1]:[SQ3]]))</f>
        <v>107.5</v>
      </c>
      <c r="L33" s="75">
        <v>57.5</v>
      </c>
      <c r="M33" s="76">
        <v>62.5</v>
      </c>
      <c r="N33" s="65" t="s">
        <v>86</v>
      </c>
      <c r="O33" s="55">
        <f>IF(ISBLANK(Table13[[#This Row],[BP1]]),"",MAX(Table13[[#This Row],[BP1]:[BP3]]))</f>
        <v>62.5</v>
      </c>
      <c r="P33" s="63">
        <v>130</v>
      </c>
      <c r="Q33" s="64">
        <v>137.5</v>
      </c>
      <c r="R33" s="64">
        <v>142.5</v>
      </c>
      <c r="S33" s="56">
        <f>IF(ISBLANK(Table13[[#This Row],[DL1]]),"",MAX(Table13[[#This Row],[DL1]:[DL3]]))</f>
        <v>142.5</v>
      </c>
      <c r="T33" s="57">
        <f>IF(ISBLANK(Table13[[#This Row],[BW]]),"",SUM(K33,O33,S33))</f>
        <v>312.5</v>
      </c>
      <c r="U33" s="80">
        <v>340.56</v>
      </c>
      <c r="V33" s="59">
        <f>IF(ISBLANK(Table13[[#This Row],[BW]]),"",9-ISTEXT(Table13[[#This Row],[SQ1]])-ISTEXT(Table13[[#This Row],[SQ2]])-ISTEXT(Table13[[#This Row],[SQ3]])-ISTEXT(Table13[[#This Row],[BP1]])-ISTEXT(Table13[[#This Row],[BP2]])-ISTEXT(Table13[[#This Row],[BP3]])-ISTEXT(Table13[[#This Row],[DL1]])-ISTEXT(Table13[[#This Row],[DL2]])-ISTEXT(Table13[[#This Row],[DL3]]))</f>
        <v>7</v>
      </c>
      <c r="W33" s="60"/>
      <c r="X33" s="82"/>
      <c r="Y33" s="85"/>
      <c r="Z33" s="8" t="e">
        <f>IF(Table13[[#This Row],[BW]]="","",500/($AD$7+$AD$8*AB33+$AD$9*AB33^2+$AD$10*AB33^3+$AD$11*AB33^4+$AD$12*AB33^5))</f>
        <v>#REF!</v>
      </c>
      <c r="AA33" s="23">
        <f>IF(Table13[[#This Row],[BW]]="","",SUM(K33,O33,S33)*$AD$14)</f>
        <v>312.5</v>
      </c>
      <c r="AB33" s="24">
        <f>IF(Table13[[#This Row],[BW]]="","",Table13[[#This Row],[BW]]*$AD$14)</f>
        <v>61.8</v>
      </c>
      <c r="AC33" s="24"/>
      <c r="AD33" s="24"/>
      <c r="AE33" s="24"/>
      <c r="AF33" s="24"/>
      <c r="AG33" s="24"/>
      <c r="AH33" s="24"/>
      <c r="AJ33" s="28" t="str">
        <f>IF(ISBLANK(Table13[[#This Row],[Name]]),"",Table13[[#This Row],[Name]])</f>
        <v>Sophie Smith</v>
      </c>
      <c r="AK33" s="27" t="e">
        <f>IF(AND($AK$4,ISNUMBER(Table13[[#This Row],[BW]])),Table13[[#This Row],[BW]],NA())</f>
        <v>#N/A</v>
      </c>
      <c r="AL33" s="29" t="e">
        <f t="shared" si="1"/>
        <v>#N/A</v>
      </c>
      <c r="AM33" s="30" t="e">
        <f>IF(AND($AM$4,ISNUMBER(Table13[[#This Row],[MAXSQ]])),Table13[[#This Row],[MAXSQ]],NA())</f>
        <v>#N/A</v>
      </c>
      <c r="AN33" s="30" t="e">
        <f t="shared" si="2"/>
        <v>#N/A</v>
      </c>
      <c r="AO33" s="30" t="e">
        <f>IF(AND($AO$4,ISNUMBER(Table13[[#This Row],[MAXBN]])),Table13[[#This Row],[MAXBN]],NA())</f>
        <v>#N/A</v>
      </c>
      <c r="AP33" s="30" t="e">
        <f t="shared" si="3"/>
        <v>#N/A</v>
      </c>
      <c r="AQ33" s="30" t="e">
        <f>IF(AND($AQ$4,ISNUMBER(Table13[[#This Row],[MAXDL]])),Table13[[#This Row],[MAXDL]],NA())</f>
        <v>#N/A</v>
      </c>
      <c r="AR33" s="30" t="e">
        <f t="shared" si="4"/>
        <v>#N/A</v>
      </c>
      <c r="AS33" s="31" t="e">
        <f>IF(AND($AS$4,ISNUMBER(Table13[[#This Row],[TOTAL]])),Table13[[#This Row],[TOTAL]],NA())</f>
        <v>#N/A</v>
      </c>
      <c r="AT33" s="29" t="e">
        <f t="shared" si="5"/>
        <v>#N/A</v>
      </c>
      <c r="AU33" s="32" t="e">
        <f>IF(AND($AU$4,ISNUMBER(Table13[[#This Row],[Wilks]])),Table13[[#This Row],[Wilks]],NA())</f>
        <v>#N/A</v>
      </c>
      <c r="AV33" s="32" t="e">
        <f t="shared" si="6"/>
        <v>#N/A</v>
      </c>
    </row>
    <row r="34" spans="4:48" s="21" customFormat="1" ht="15" customHeight="1" x14ac:dyDescent="0.25">
      <c r="D34" s="61" t="s">
        <v>51</v>
      </c>
      <c r="E34" s="74" t="s">
        <v>55</v>
      </c>
      <c r="F34" s="74" t="s">
        <v>49</v>
      </c>
      <c r="G34" s="62">
        <v>55.9</v>
      </c>
      <c r="H34" s="75">
        <v>95</v>
      </c>
      <c r="I34" s="76">
        <v>100</v>
      </c>
      <c r="J34" s="65" t="s">
        <v>89</v>
      </c>
      <c r="K34" s="55">
        <f>IF(ISBLANK(Table13[[#This Row],[SQ1]]),"",MAX(Table13[[#This Row],[SQ1]:[SQ3]]))</f>
        <v>100</v>
      </c>
      <c r="L34" s="75">
        <v>52.5</v>
      </c>
      <c r="M34" s="76">
        <v>55</v>
      </c>
      <c r="N34" s="65" t="s">
        <v>88</v>
      </c>
      <c r="O34" s="55">
        <f>IF(ISBLANK(Table13[[#This Row],[BP1]]),"",MAX(Table13[[#This Row],[BP1]:[BP3]]))</f>
        <v>55</v>
      </c>
      <c r="P34" s="63">
        <v>115</v>
      </c>
      <c r="Q34" s="64">
        <v>122.5</v>
      </c>
      <c r="R34" s="64" t="s">
        <v>100</v>
      </c>
      <c r="S34" s="56">
        <f>IF(ISBLANK(Table13[[#This Row],[DL1]]),"",MAX(Table13[[#This Row],[DL1]:[DL3]]))</f>
        <v>122.5</v>
      </c>
      <c r="T34" s="57">
        <f>IF(ISBLANK(Table13[[#This Row],[BW]]),"",SUM(K34,O34,S34))</f>
        <v>277.5</v>
      </c>
      <c r="U34" s="80">
        <v>326.97000000000003</v>
      </c>
      <c r="V34" s="59">
        <f>IF(ISBLANK(Table13[[#This Row],[BW]]),"",9-ISTEXT(Table13[[#This Row],[SQ1]])-ISTEXT(Table13[[#This Row],[SQ2]])-ISTEXT(Table13[[#This Row],[SQ3]])-ISTEXT(Table13[[#This Row],[BP1]])-ISTEXT(Table13[[#This Row],[BP2]])-ISTEXT(Table13[[#This Row],[BP3]])-ISTEXT(Table13[[#This Row],[DL1]])-ISTEXT(Table13[[#This Row],[DL2]])-ISTEXT(Table13[[#This Row],[DL3]]))</f>
        <v>6</v>
      </c>
      <c r="W34" s="60"/>
      <c r="X34" s="82"/>
      <c r="Y34" s="85"/>
      <c r="Z34" s="8" t="e">
        <f>IF(Table13[[#This Row],[BW]]="","",500/($AD$7+$AD$8*AB34+$AD$9*AB34^2+$AD$10*AB34^3+$AD$11*AB34^4+$AD$12*AB34^5))</f>
        <v>#REF!</v>
      </c>
      <c r="AA34" s="23">
        <f>IF(Table13[[#This Row],[BW]]="","",SUM(K34,O34,S34)*$AD$14)</f>
        <v>277.5</v>
      </c>
      <c r="AB34" s="24">
        <f>IF(Table13[[#This Row],[BW]]="","",Table13[[#This Row],[BW]]*$AD$14)</f>
        <v>55.9</v>
      </c>
      <c r="AC34" s="24"/>
      <c r="AD34" s="24"/>
      <c r="AE34" s="24"/>
      <c r="AF34" s="24"/>
      <c r="AG34" s="24"/>
      <c r="AH34" s="24"/>
      <c r="AJ34" s="28" t="str">
        <f>IF(ISBLANK(Table13[[#This Row],[Name]]),"",Table13[[#This Row],[Name]])</f>
        <v>Francesca Best</v>
      </c>
      <c r="AK34" s="27" t="e">
        <f>IF(AND($AK$4,ISNUMBER(Table13[[#This Row],[BW]])),Table13[[#This Row],[BW]],NA())</f>
        <v>#N/A</v>
      </c>
      <c r="AL34" s="29" t="e">
        <f t="shared" si="1"/>
        <v>#N/A</v>
      </c>
      <c r="AM34" s="30" t="e">
        <f>IF(AND($AM$4,ISNUMBER(Table13[[#This Row],[MAXSQ]])),Table13[[#This Row],[MAXSQ]],NA())</f>
        <v>#N/A</v>
      </c>
      <c r="AN34" s="30" t="e">
        <f t="shared" si="2"/>
        <v>#N/A</v>
      </c>
      <c r="AO34" s="30" t="e">
        <f>IF(AND($AO$4,ISNUMBER(Table13[[#This Row],[MAXBN]])),Table13[[#This Row],[MAXBN]],NA())</f>
        <v>#N/A</v>
      </c>
      <c r="AP34" s="30" t="e">
        <f t="shared" si="3"/>
        <v>#N/A</v>
      </c>
      <c r="AQ34" s="30" t="e">
        <f>IF(AND($AQ$4,ISNUMBER(Table13[[#This Row],[MAXDL]])),Table13[[#This Row],[MAXDL]],NA())</f>
        <v>#N/A</v>
      </c>
      <c r="AR34" s="30" t="e">
        <f t="shared" si="4"/>
        <v>#N/A</v>
      </c>
      <c r="AS34" s="31" t="e">
        <f>IF(AND($AS$4,ISNUMBER(Table13[[#This Row],[TOTAL]])),Table13[[#This Row],[TOTAL]],NA())</f>
        <v>#N/A</v>
      </c>
      <c r="AT34" s="29" t="e">
        <f t="shared" si="5"/>
        <v>#N/A</v>
      </c>
      <c r="AU34" s="32" t="e">
        <f>IF(AND($AU$4,ISNUMBER(Table13[[#This Row],[Wilks]])),Table13[[#This Row],[Wilks]],NA())</f>
        <v>#N/A</v>
      </c>
      <c r="AV34" s="32" t="e">
        <f t="shared" si="6"/>
        <v>#N/A</v>
      </c>
    </row>
    <row r="35" spans="4:48" s="21" customFormat="1" ht="15" customHeight="1" x14ac:dyDescent="0.25">
      <c r="D35" s="61" t="s">
        <v>57</v>
      </c>
      <c r="E35" s="74" t="s">
        <v>55</v>
      </c>
      <c r="F35" s="74" t="s">
        <v>49</v>
      </c>
      <c r="G35" s="62">
        <v>61.5</v>
      </c>
      <c r="H35" s="75">
        <v>100</v>
      </c>
      <c r="I35" s="76">
        <v>105</v>
      </c>
      <c r="J35" s="77">
        <v>110</v>
      </c>
      <c r="K35" s="55">
        <f>IF(ISBLANK(Table13[[#This Row],[SQ1]]),"",MAX(Table13[[#This Row],[SQ1]:[SQ3]]))</f>
        <v>110</v>
      </c>
      <c r="L35" s="75">
        <v>50</v>
      </c>
      <c r="M35" s="76">
        <v>52.5</v>
      </c>
      <c r="N35" s="65" t="s">
        <v>90</v>
      </c>
      <c r="O35" s="55">
        <f>IF(ISBLANK(Table13[[#This Row],[BP1]]),"",MAX(Table13[[#This Row],[BP1]:[BP3]]))</f>
        <v>52.5</v>
      </c>
      <c r="P35" s="63">
        <v>117.5</v>
      </c>
      <c r="Q35" s="64">
        <v>125</v>
      </c>
      <c r="R35" s="64">
        <v>130</v>
      </c>
      <c r="S35" s="56">
        <f>IF(ISBLANK(Table13[[#This Row],[DL1]]),"",MAX(Table13[[#This Row],[DL1]:[DL3]]))</f>
        <v>130</v>
      </c>
      <c r="T35" s="57">
        <f>IF(ISBLANK(Table13[[#This Row],[BW]]),"",SUM(K35,O35,S35))</f>
        <v>292.5</v>
      </c>
      <c r="U35" s="80">
        <v>319.95</v>
      </c>
      <c r="V35" s="59">
        <f>IF(ISBLANK(Table13[[#This Row],[BW]]),"",9-ISTEXT(Table13[[#This Row],[SQ1]])-ISTEXT(Table13[[#This Row],[SQ2]])-ISTEXT(Table13[[#This Row],[SQ3]])-ISTEXT(Table13[[#This Row],[BP1]])-ISTEXT(Table13[[#This Row],[BP2]])-ISTEXT(Table13[[#This Row],[BP3]])-ISTEXT(Table13[[#This Row],[DL1]])-ISTEXT(Table13[[#This Row],[DL2]])-ISTEXT(Table13[[#This Row],[DL3]]))</f>
        <v>8</v>
      </c>
      <c r="W35" s="60"/>
      <c r="X35" s="82"/>
      <c r="Y35" s="85"/>
      <c r="Z35" s="8" t="e">
        <f>IF(Table13[[#This Row],[BW]]="","",500/($AD$7+$AD$8*AB35+$AD$9*AB35^2+$AD$10*AB35^3+$AD$11*AB35^4+$AD$12*AB35^5))</f>
        <v>#REF!</v>
      </c>
      <c r="AA35" s="23">
        <f>IF(Table13[[#This Row],[BW]]="","",SUM(K35,O35,S35)*$AD$14)</f>
        <v>292.5</v>
      </c>
      <c r="AB35" s="24">
        <f>IF(Table13[[#This Row],[BW]]="","",Table13[[#This Row],[BW]]*$AD$14)</f>
        <v>61.5</v>
      </c>
      <c r="AC35" s="24"/>
      <c r="AD35" s="24"/>
      <c r="AE35" s="24"/>
      <c r="AF35" s="24"/>
      <c r="AG35" s="24"/>
      <c r="AH35" s="24"/>
      <c r="AJ35" s="28" t="str">
        <f>IF(ISBLANK(Table13[[#This Row],[Name]]),"",Table13[[#This Row],[Name]])</f>
        <v>Emma Richardson</v>
      </c>
      <c r="AK35" s="27" t="e">
        <f>IF(AND($AK$4,ISNUMBER(Table13[[#This Row],[BW]])),Table13[[#This Row],[BW]],NA())</f>
        <v>#N/A</v>
      </c>
      <c r="AL35" s="29" t="e">
        <f t="shared" si="1"/>
        <v>#N/A</v>
      </c>
      <c r="AM35" s="30" t="e">
        <f>IF(AND($AM$4,ISNUMBER(Table13[[#This Row],[MAXSQ]])),Table13[[#This Row],[MAXSQ]],NA())</f>
        <v>#N/A</v>
      </c>
      <c r="AN35" s="30" t="e">
        <f t="shared" si="2"/>
        <v>#N/A</v>
      </c>
      <c r="AO35" s="30" t="e">
        <f>IF(AND($AO$4,ISNUMBER(Table13[[#This Row],[MAXBN]])),Table13[[#This Row],[MAXBN]],NA())</f>
        <v>#N/A</v>
      </c>
      <c r="AP35" s="30" t="e">
        <f t="shared" si="3"/>
        <v>#N/A</v>
      </c>
      <c r="AQ35" s="30" t="e">
        <f>IF(AND($AQ$4,ISNUMBER(Table13[[#This Row],[MAXDL]])),Table13[[#This Row],[MAXDL]],NA())</f>
        <v>#N/A</v>
      </c>
      <c r="AR35" s="30" t="e">
        <f t="shared" si="4"/>
        <v>#N/A</v>
      </c>
      <c r="AS35" s="31" t="e">
        <f>IF(AND($AS$4,ISNUMBER(Table13[[#This Row],[TOTAL]])),Table13[[#This Row],[TOTAL]],NA())</f>
        <v>#N/A</v>
      </c>
      <c r="AT35" s="29" t="e">
        <f t="shared" si="5"/>
        <v>#N/A</v>
      </c>
      <c r="AU35" s="32" t="e">
        <f>IF(AND($AU$4,ISNUMBER(Table13[[#This Row],[Wilks]])),Table13[[#This Row],[Wilks]],NA())</f>
        <v>#N/A</v>
      </c>
      <c r="AV35" s="32" t="e">
        <f t="shared" si="6"/>
        <v>#N/A</v>
      </c>
    </row>
    <row r="36" spans="4:48" ht="15.75" x14ac:dyDescent="0.25">
      <c r="D36" s="61" t="s">
        <v>53</v>
      </c>
      <c r="E36" s="74" t="s">
        <v>55</v>
      </c>
      <c r="F36" s="74" t="s">
        <v>49</v>
      </c>
      <c r="G36" s="62">
        <v>60.5</v>
      </c>
      <c r="H36" s="75">
        <v>92.5</v>
      </c>
      <c r="I36" s="76">
        <v>100</v>
      </c>
      <c r="J36" s="65" t="s">
        <v>85</v>
      </c>
      <c r="K36" s="55">
        <f>IF(ISBLANK(Table13[[#This Row],[SQ1]]),"",MAX(Table13[[#This Row],[SQ1]:[SQ3]]))</f>
        <v>100</v>
      </c>
      <c r="L36" s="75">
        <v>57.5</v>
      </c>
      <c r="M36" s="76">
        <v>62.5</v>
      </c>
      <c r="N36" s="65" t="s">
        <v>86</v>
      </c>
      <c r="O36" s="55">
        <f>IF(ISBLANK(Table13[[#This Row],[BP1]]),"",MAX(Table13[[#This Row],[BP1]:[BP3]]))</f>
        <v>62.5</v>
      </c>
      <c r="P36" s="63">
        <v>110</v>
      </c>
      <c r="Q36" s="64">
        <v>117.5</v>
      </c>
      <c r="R36" s="64">
        <v>122.5</v>
      </c>
      <c r="S36" s="56">
        <f>IF(ISBLANK(Table13[[#This Row],[DL1]]),"",MAX(Table13[[#This Row],[DL1]:[DL3]]))</f>
        <v>122.5</v>
      </c>
      <c r="T36" s="57">
        <f>IF(ISBLANK(Table13[[#This Row],[BW]]),"",SUM(K36,O36,S36))</f>
        <v>285</v>
      </c>
      <c r="U36" s="80">
        <v>315.70999999999998</v>
      </c>
      <c r="V36" s="59">
        <f>IF(ISBLANK(Table13[[#This Row],[BW]]),"",9-ISTEXT(Table13[[#This Row],[SQ1]])-ISTEXT(Table13[[#This Row],[SQ2]])-ISTEXT(Table13[[#This Row],[SQ3]])-ISTEXT(Table13[[#This Row],[BP1]])-ISTEXT(Table13[[#This Row],[BP2]])-ISTEXT(Table13[[#This Row],[BP3]])-ISTEXT(Table13[[#This Row],[DL1]])-ISTEXT(Table13[[#This Row],[DL2]])-ISTEXT(Table13[[#This Row],[DL3]]))</f>
        <v>7</v>
      </c>
      <c r="W36" s="60"/>
      <c r="X36" s="83"/>
      <c r="Y36" s="87"/>
      <c r="Z36" s="24"/>
      <c r="AA36" s="24"/>
      <c r="AB36" s="24"/>
      <c r="AC36" s="24"/>
      <c r="AD36" s="24"/>
      <c r="AE36" s="24"/>
      <c r="AF36" s="24"/>
      <c r="AI36" s="3"/>
      <c r="AJ36" s="3"/>
      <c r="AK36" s="3"/>
      <c r="AL36" s="3"/>
      <c r="AM36" s="3"/>
      <c r="AN36" s="3"/>
    </row>
    <row r="37" spans="4:48" ht="15.75" x14ac:dyDescent="0.25">
      <c r="D37" s="61" t="s">
        <v>52</v>
      </c>
      <c r="E37" s="74" t="s">
        <v>55</v>
      </c>
      <c r="F37" s="74" t="s">
        <v>49</v>
      </c>
      <c r="G37" s="62">
        <v>56.7</v>
      </c>
      <c r="H37" s="75">
        <v>90</v>
      </c>
      <c r="I37" s="76">
        <v>95</v>
      </c>
      <c r="J37" s="77">
        <v>97.5</v>
      </c>
      <c r="K37" s="55">
        <f>IF(ISBLANK(Table13[[#This Row],[SQ1]]),"",MAX(Table13[[#This Row],[SQ1]:[SQ3]]))</f>
        <v>97.5</v>
      </c>
      <c r="L37" s="78" t="s">
        <v>83</v>
      </c>
      <c r="M37" s="76">
        <v>47.5</v>
      </c>
      <c r="N37" s="79" t="s">
        <v>84</v>
      </c>
      <c r="O37" s="55">
        <f>IF(ISBLANK(Table13[[#This Row],[BP1]]),"",MAX(Table13[[#This Row],[BP1]:[BP3]]))</f>
        <v>47.5</v>
      </c>
      <c r="P37" s="63">
        <v>107.5</v>
      </c>
      <c r="Q37" s="64">
        <v>115</v>
      </c>
      <c r="R37" s="64">
        <v>120</v>
      </c>
      <c r="S37" s="56">
        <f>IF(ISBLANK(Table13[[#This Row],[DL1]]),"",MAX(Table13[[#This Row],[DL1]:[DL3]]))</f>
        <v>120</v>
      </c>
      <c r="T37" s="57">
        <f>IF(ISBLANK(Table13[[#This Row],[BW]]),"",SUM(K37,O37,S37))</f>
        <v>265</v>
      </c>
      <c r="U37" s="80">
        <v>308.77999999999997</v>
      </c>
      <c r="V37" s="59">
        <f>IF(ISBLANK(Table13[[#This Row],[BW]]),"",9-ISTEXT(Table13[[#This Row],[SQ1]])-ISTEXT(Table13[[#This Row],[SQ2]])-ISTEXT(Table13[[#This Row],[SQ3]])-ISTEXT(Table13[[#This Row],[BP1]])-ISTEXT(Table13[[#This Row],[BP2]])-ISTEXT(Table13[[#This Row],[BP3]])-ISTEXT(Table13[[#This Row],[DL1]])-ISTEXT(Table13[[#This Row],[DL2]])-ISTEXT(Table13[[#This Row],[DL3]]))</f>
        <v>7</v>
      </c>
      <c r="W37" s="60"/>
      <c r="X37" s="36"/>
      <c r="Y37" s="85"/>
    </row>
    <row r="38" spans="4:48" ht="15.75" x14ac:dyDescent="0.25">
      <c r="D38" s="61" t="s">
        <v>109</v>
      </c>
      <c r="E38" s="74" t="s">
        <v>55</v>
      </c>
      <c r="F38" s="74" t="s">
        <v>49</v>
      </c>
      <c r="G38" s="62">
        <v>50.3</v>
      </c>
      <c r="H38" s="75">
        <v>72.5</v>
      </c>
      <c r="I38" s="76">
        <v>77.5</v>
      </c>
      <c r="J38" s="77">
        <v>80</v>
      </c>
      <c r="K38" s="55">
        <f>IF(ISBLANK(Table13[[#This Row],[SQ1]]),"",MAX(Table13[[#This Row],[SQ1]:[SQ3]]))</f>
        <v>80</v>
      </c>
      <c r="L38" s="75">
        <v>47.5</v>
      </c>
      <c r="M38" s="76">
        <v>50</v>
      </c>
      <c r="N38" s="77">
        <v>52.5</v>
      </c>
      <c r="O38" s="55">
        <f>IF(ISBLANK(Table13[[#This Row],[BP1]]),"",MAX(Table13[[#This Row],[BP1]:[BP3]]))</f>
        <v>52.5</v>
      </c>
      <c r="P38" s="63">
        <v>100</v>
      </c>
      <c r="Q38" s="64">
        <v>105</v>
      </c>
      <c r="R38" s="64">
        <v>107.5</v>
      </c>
      <c r="S38" s="56">
        <f>IF(ISBLANK(Table13[[#This Row],[DL1]]),"",MAX(Table13[[#This Row],[DL1]:[DL3]]))</f>
        <v>107.5</v>
      </c>
      <c r="T38" s="57">
        <f>IF(ISBLANK(Table13[[#This Row],[BW]]),"",SUM(K38,O38,S38))</f>
        <v>240</v>
      </c>
      <c r="U38" s="80">
        <v>306.92</v>
      </c>
      <c r="V38" s="59">
        <f>IF(ISBLANK(Table13[[#This Row],[BW]]),"",9-ISTEXT(Table13[[#This Row],[SQ1]])-ISTEXT(Table13[[#This Row],[SQ2]])-ISTEXT(Table13[[#This Row],[SQ3]])-ISTEXT(Table13[[#This Row],[BP1]])-ISTEXT(Table13[[#This Row],[BP2]])-ISTEXT(Table13[[#This Row],[BP3]])-ISTEXT(Table13[[#This Row],[DL1]])-ISTEXT(Table13[[#This Row],[DL2]])-ISTEXT(Table13[[#This Row],[DL3]]))</f>
        <v>9</v>
      </c>
      <c r="W38" s="60"/>
      <c r="X38" s="36"/>
      <c r="Y38" s="85"/>
      <c r="AK38" s="38"/>
      <c r="AL38" s="38"/>
    </row>
    <row r="39" spans="4:48" s="21" customFormat="1" ht="15" customHeight="1" x14ac:dyDescent="0.25">
      <c r="D39" s="61"/>
      <c r="E39" s="74"/>
      <c r="F39" s="74"/>
      <c r="G39" s="62"/>
      <c r="H39" s="63"/>
      <c r="I39" s="64"/>
      <c r="J39" s="65"/>
      <c r="K39" s="55"/>
      <c r="L39" s="63"/>
      <c r="M39" s="64"/>
      <c r="N39" s="65"/>
      <c r="O39" s="55"/>
      <c r="P39" s="63"/>
      <c r="Q39" s="64"/>
      <c r="R39" s="64"/>
      <c r="S39" s="56"/>
      <c r="T39" s="57"/>
      <c r="U39" s="58"/>
      <c r="V39" s="59"/>
      <c r="W39" s="60"/>
      <c r="X39" s="82"/>
      <c r="Y39" s="85"/>
      <c r="Z39" s="8" t="str">
        <f>IF(Table13[[#This Row],[BW]]="","",500/($AD$7+$AD$8*AB39+$AD$9*AB39^2+$AD$10*AB39^3+$AD$11*AB39^4+$AD$12*AB39^5))</f>
        <v/>
      </c>
      <c r="AA39" s="23" t="str">
        <f>IF(Table13[[#This Row],[BW]]="","",SUM(K39,O39,S39)*$AD$14)</f>
        <v/>
      </c>
      <c r="AB39" s="24" t="str">
        <f>IF(Table13[[#This Row],[BW]]="","",Table13[[#This Row],[BW]]*$AD$14)</f>
        <v/>
      </c>
      <c r="AC39" s="24"/>
      <c r="AD39" s="24"/>
      <c r="AE39" s="24"/>
      <c r="AF39" s="24"/>
      <c r="AG39" s="24"/>
      <c r="AH39" s="24"/>
      <c r="AJ39" s="28" t="str">
        <f>IF(ISBLANK(Table13[[#This Row],[Name]]),"",Table13[[#This Row],[Name]])</f>
        <v/>
      </c>
      <c r="AK39" s="27" t="e">
        <f>IF(AND($AK$4,ISNUMBER(Table13[[#This Row],[BW]])),Table13[[#This Row],[BW]],NA())</f>
        <v>#N/A</v>
      </c>
      <c r="AL39" s="29" t="e">
        <f t="shared" ref="AL39" si="13">IF($AK$4=FALSE,NA(),IF(G39=MAX(G$7:G$35),G39,NA()))</f>
        <v>#N/A</v>
      </c>
      <c r="AM39" s="30" t="e">
        <f>IF(AND($AM$4,ISNUMBER(Table13[[#This Row],[MAXSQ]])),Table13[[#This Row],[MAXSQ]],NA())</f>
        <v>#N/A</v>
      </c>
      <c r="AN39" s="30" t="e">
        <f t="shared" ref="AN39" si="14">IF($AM$4=FALSE,NA(),IF(K39=MAX(K$7:K$35),K39,NA()))</f>
        <v>#N/A</v>
      </c>
      <c r="AO39" s="30" t="e">
        <f>IF(AND($AO$4,ISNUMBER(Table13[[#This Row],[MAXBN]])),Table13[[#This Row],[MAXBN]],NA())</f>
        <v>#N/A</v>
      </c>
      <c r="AP39" s="30" t="e">
        <f t="shared" ref="AP39" si="15">IF($AO$4=FALSE,NA(),IF(O39=MAX(O$7:O$35),O39,NA()))</f>
        <v>#N/A</v>
      </c>
      <c r="AQ39" s="30" t="e">
        <f>IF(AND($AQ$4,ISNUMBER(Table13[[#This Row],[MAXDL]])),Table13[[#This Row],[MAXDL]],NA())</f>
        <v>#N/A</v>
      </c>
      <c r="AR39" s="30" t="e">
        <f t="shared" ref="AR39" si="16">IF($AQ$4=FALSE,NA(),IF(S39=MAX(S$7:S$35),S39,NA()))</f>
        <v>#N/A</v>
      </c>
      <c r="AS39" s="31" t="e">
        <f>IF(AND($AS$4,ISNUMBER(Table13[[#This Row],[TOTAL]])),Table13[[#This Row],[TOTAL]],NA())</f>
        <v>#N/A</v>
      </c>
      <c r="AT39" s="29" t="e">
        <f t="shared" ref="AT39" si="17">IF($AS$4=FALSE,NA(),IF(T39=MAX(T$7:T$35),T39,NA()))</f>
        <v>#N/A</v>
      </c>
      <c r="AU39" s="32" t="e">
        <f>IF(AND($AU$4,ISNUMBER(Table13[[#This Row],[Wilks]])),Table13[[#This Row],[Wilks]],NA())</f>
        <v>#N/A</v>
      </c>
      <c r="AV39" s="32" t="e">
        <f t="shared" ref="AV39" si="18">IF($AU$4=FALSE,NA(),IF(U39=MAX(U$7:U$35),U39,NA()))</f>
        <v>#N/A</v>
      </c>
    </row>
    <row r="40" spans="4:48" x14ac:dyDescent="0.25">
      <c r="D40" s="61"/>
      <c r="E40" s="74"/>
      <c r="F40" s="74"/>
      <c r="G40" s="62"/>
      <c r="H40" s="63"/>
      <c r="I40" s="64"/>
      <c r="J40" s="65"/>
      <c r="K40" s="55" t="str">
        <f>IF(ISBLANK(Table13[[#This Row],[SQ1]]),"",MAX(Table13[[#This Row],[SQ1]:[SQ3]]))</f>
        <v/>
      </c>
      <c r="L40" s="40"/>
      <c r="M40" s="2"/>
      <c r="N40" s="48"/>
      <c r="O40" s="51" t="str">
        <f>IF(ISBLANK(Table13[[#This Row],[BP1]]),"",MAX(Table13[[#This Row],[BP1]:[BP3]]))</f>
        <v/>
      </c>
      <c r="P40" s="40"/>
      <c r="Q40" s="2"/>
      <c r="R40" s="2"/>
      <c r="S40" s="43" t="str">
        <f>IF(ISBLANK(Table13[[#This Row],[DL1]]),"",MAX(Table13[[#This Row],[DL1]:[DL3]]))</f>
        <v/>
      </c>
      <c r="T40" s="26" t="str">
        <f>IF(ISBLANK(Table13[[#This Row],[BW]]),"",SUM(K40,O40,S40))</f>
        <v/>
      </c>
      <c r="U40" s="22"/>
      <c r="V40" s="39" t="str">
        <f>IF(ISBLANK(Table13[[#This Row],[BW]]),"",9-ISTEXT(Table13[[#This Row],[SQ1]])-ISTEXT(Table13[[#This Row],[SQ2]])-ISTEXT(Table13[[#This Row],[SQ3]])-ISTEXT(Table13[[#This Row],[BP1]])-ISTEXT(Table13[[#This Row],[BP2]])-ISTEXT(Table13[[#This Row],[BP3]])-ISTEXT(Table13[[#This Row],[DL1]])-ISTEXT(Table13[[#This Row],[DL2]])-ISTEXT(Table13[[#This Row],[DL3]]))</f>
        <v/>
      </c>
      <c r="W40" s="54"/>
      <c r="X40" s="36"/>
      <c r="Y40" s="85"/>
    </row>
    <row r="41" spans="4:48" x14ac:dyDescent="0.25">
      <c r="D41" s="61"/>
      <c r="E41" s="74"/>
      <c r="F41" s="74"/>
      <c r="G41" s="62"/>
      <c r="H41" s="63"/>
      <c r="I41" s="64"/>
      <c r="J41" s="65"/>
      <c r="K41" s="55" t="str">
        <f>IF(ISBLANK(Table13[[#This Row],[SQ1]]),"",MAX(Table13[[#This Row],[SQ1]:[SQ3]]))</f>
        <v/>
      </c>
      <c r="L41" s="40"/>
      <c r="M41" s="2"/>
      <c r="N41" s="48"/>
      <c r="O41" s="51" t="str">
        <f>IF(ISBLANK(Table13[[#This Row],[BP1]]),"",MAX(Table13[[#This Row],[BP1]:[BP3]]))</f>
        <v/>
      </c>
      <c r="P41" s="40"/>
      <c r="Q41" s="2"/>
      <c r="R41" s="2"/>
      <c r="S41" s="43" t="str">
        <f>IF(ISBLANK(Table13[[#This Row],[DL1]]),"",MAX(Table13[[#This Row],[DL1]:[DL3]]))</f>
        <v/>
      </c>
      <c r="T41" s="26" t="str">
        <f>IF(ISBLANK(Table13[[#This Row],[BW]]),"",SUM(K41,O41,S41))</f>
        <v/>
      </c>
      <c r="U41" s="22"/>
      <c r="V41" s="39" t="str">
        <f>IF(ISBLANK(Table13[[#This Row],[BW]]),"",9-ISTEXT(Table13[[#This Row],[SQ1]])-ISTEXT(Table13[[#This Row],[SQ2]])-ISTEXT(Table13[[#This Row],[SQ3]])-ISTEXT(Table13[[#This Row],[BP1]])-ISTEXT(Table13[[#This Row],[BP2]])-ISTEXT(Table13[[#This Row],[BP3]])-ISTEXT(Table13[[#This Row],[DL1]])-ISTEXT(Table13[[#This Row],[DL2]])-ISTEXT(Table13[[#This Row],[DL3]]))</f>
        <v/>
      </c>
      <c r="W41" s="54"/>
      <c r="X41" s="36"/>
      <c r="Y41" s="85"/>
    </row>
    <row r="42" spans="4:48" x14ac:dyDescent="0.25">
      <c r="D42" s="61"/>
      <c r="E42" s="74"/>
      <c r="F42" s="74"/>
      <c r="G42" s="62"/>
      <c r="H42" s="63"/>
      <c r="I42" s="64"/>
      <c r="J42" s="65"/>
      <c r="K42" s="55" t="str">
        <f>IF(ISBLANK(Table13[[#This Row],[SQ1]]),"",MAX(Table13[[#This Row],[SQ1]:[SQ3]]))</f>
        <v/>
      </c>
      <c r="L42" s="40"/>
      <c r="M42" s="2"/>
      <c r="N42" s="48"/>
      <c r="O42" s="51" t="str">
        <f>IF(ISBLANK(Table13[[#This Row],[BP1]]),"",MAX(Table13[[#This Row],[BP1]:[BP3]]))</f>
        <v/>
      </c>
      <c r="P42" s="40"/>
      <c r="Q42" s="2"/>
      <c r="R42" s="2"/>
      <c r="S42" s="43" t="str">
        <f>IF(ISBLANK(Table13[[#This Row],[DL1]]),"",MAX(Table13[[#This Row],[DL1]:[DL3]]))</f>
        <v/>
      </c>
      <c r="T42" s="26" t="str">
        <f>IF(ISBLANK(Table13[[#This Row],[BW]]),"",SUM(K42,O42,S42))</f>
        <v/>
      </c>
      <c r="U42" s="22"/>
      <c r="V42" s="39" t="str">
        <f>IF(ISBLANK(Table13[[#This Row],[BW]]),"",9-ISTEXT(Table13[[#This Row],[SQ1]])-ISTEXT(Table13[[#This Row],[SQ2]])-ISTEXT(Table13[[#This Row],[SQ3]])-ISTEXT(Table13[[#This Row],[BP1]])-ISTEXT(Table13[[#This Row],[BP2]])-ISTEXT(Table13[[#This Row],[BP3]])-ISTEXT(Table13[[#This Row],[DL1]])-ISTEXT(Table13[[#This Row],[DL2]])-ISTEXT(Table13[[#This Row],[DL3]]))</f>
        <v/>
      </c>
      <c r="W42" s="54"/>
      <c r="X42" s="36"/>
      <c r="Y42" s="85"/>
    </row>
    <row r="43" spans="4:48" x14ac:dyDescent="0.25">
      <c r="D43" s="61"/>
      <c r="E43" s="74"/>
      <c r="F43" s="74"/>
      <c r="G43" s="62"/>
      <c r="H43" s="63"/>
      <c r="I43" s="64"/>
      <c r="J43" s="65"/>
      <c r="K43" s="55" t="str">
        <f>IF(ISBLANK(Table13[[#This Row],[SQ1]]),"",MAX(Table13[[#This Row],[SQ1]:[SQ3]]))</f>
        <v/>
      </c>
      <c r="L43" s="40"/>
      <c r="M43" s="2"/>
      <c r="N43" s="48"/>
      <c r="O43" s="51" t="str">
        <f>IF(ISBLANK(Table13[[#This Row],[BP1]]),"",MAX(Table13[[#This Row],[BP1]:[BP3]]))</f>
        <v/>
      </c>
      <c r="P43" s="40"/>
      <c r="Q43" s="2"/>
      <c r="R43" s="2"/>
      <c r="S43" s="43" t="str">
        <f>IF(ISBLANK(Table13[[#This Row],[DL1]]),"",MAX(Table13[[#This Row],[DL1]:[DL3]]))</f>
        <v/>
      </c>
      <c r="T43" s="26" t="str">
        <f>IF(ISBLANK(Table13[[#This Row],[BW]]),"",SUM(K43,O43,S43))</f>
        <v/>
      </c>
      <c r="U43" s="22"/>
      <c r="V43" s="39" t="str">
        <f>IF(ISBLANK(Table13[[#This Row],[BW]]),"",9-ISTEXT(Table13[[#This Row],[SQ1]])-ISTEXT(Table13[[#This Row],[SQ2]])-ISTEXT(Table13[[#This Row],[SQ3]])-ISTEXT(Table13[[#This Row],[BP1]])-ISTEXT(Table13[[#This Row],[BP2]])-ISTEXT(Table13[[#This Row],[BP3]])-ISTEXT(Table13[[#This Row],[DL1]])-ISTEXT(Table13[[#This Row],[DL2]])-ISTEXT(Table13[[#This Row],[DL3]]))</f>
        <v/>
      </c>
      <c r="W43" s="54"/>
      <c r="X43" s="36"/>
      <c r="Y43" s="85">
        <f>(Table13[[#This Row],[Wilks]]+U44+U46+U47+U48+U49+U50+U53)</f>
        <v>0</v>
      </c>
    </row>
    <row r="44" spans="4:48" x14ac:dyDescent="0.25">
      <c r="D44" s="61"/>
      <c r="E44" s="74"/>
      <c r="F44" s="74"/>
      <c r="G44" s="62"/>
      <c r="H44" s="63"/>
      <c r="I44" s="64"/>
      <c r="J44" s="65"/>
      <c r="K44" s="55" t="str">
        <f>IF(ISBLANK(Table13[[#This Row],[SQ1]]),"",MAX(Table13[[#This Row],[SQ1]:[SQ3]]))</f>
        <v/>
      </c>
      <c r="L44" s="40"/>
      <c r="M44" s="2"/>
      <c r="N44" s="48"/>
      <c r="O44" s="51" t="str">
        <f>IF(ISBLANK(Table13[[#This Row],[BP1]]),"",MAX(Table13[[#This Row],[BP1]:[BP3]]))</f>
        <v/>
      </c>
      <c r="P44" s="40"/>
      <c r="Q44" s="2"/>
      <c r="R44" s="2"/>
      <c r="S44" s="43" t="str">
        <f>IF(ISBLANK(Table13[[#This Row],[DL1]]),"",MAX(Table13[[#This Row],[DL1]:[DL3]]))</f>
        <v/>
      </c>
      <c r="T44" s="26" t="str">
        <f>IF(ISBLANK(Table13[[#This Row],[BW]]),"",SUM(K44,O44,S44))</f>
        <v/>
      </c>
      <c r="U44" s="22"/>
      <c r="V44" s="39" t="str">
        <f>IF(ISBLANK(Table13[[#This Row],[BW]]),"",9-ISTEXT(Table13[[#This Row],[SQ1]])-ISTEXT(Table13[[#This Row],[SQ2]])-ISTEXT(Table13[[#This Row],[SQ3]])-ISTEXT(Table13[[#This Row],[BP1]])-ISTEXT(Table13[[#This Row],[BP2]])-ISTEXT(Table13[[#This Row],[BP3]])-ISTEXT(Table13[[#This Row],[DL1]])-ISTEXT(Table13[[#This Row],[DL2]])-ISTEXT(Table13[[#This Row],[DL3]]))</f>
        <v/>
      </c>
      <c r="W44" s="54"/>
      <c r="X44" s="36"/>
      <c r="Y44" s="85">
        <f>(Table13[[#This Row],[Wilks]]+U45+U47+U48+U49+U50+U51+U54)</f>
        <v>0</v>
      </c>
    </row>
    <row r="45" spans="4:48" x14ac:dyDescent="0.25">
      <c r="D45" s="61"/>
      <c r="E45" s="74"/>
      <c r="F45" s="74"/>
      <c r="G45" s="62"/>
      <c r="H45" s="63"/>
      <c r="I45" s="64"/>
      <c r="J45" s="65"/>
      <c r="K45" s="55" t="str">
        <f>IF(ISBLANK(Table13[[#This Row],[SQ1]]),"",MAX(Table13[[#This Row],[SQ1]:[SQ3]]))</f>
        <v/>
      </c>
      <c r="L45" s="40"/>
      <c r="M45" s="2"/>
      <c r="N45" s="48"/>
      <c r="O45" s="51" t="str">
        <f>IF(ISBLANK(Table13[[#This Row],[BP1]]),"",MAX(Table13[[#This Row],[BP1]:[BP3]]))</f>
        <v/>
      </c>
      <c r="P45" s="40"/>
      <c r="Q45" s="2"/>
      <c r="R45" s="2"/>
      <c r="S45" s="43" t="str">
        <f>IF(ISBLANK(Table13[[#This Row],[DL1]]),"",MAX(Table13[[#This Row],[DL1]:[DL3]]))</f>
        <v/>
      </c>
      <c r="T45" s="26" t="str">
        <f>IF(ISBLANK(Table13[[#This Row],[BW]]),"",SUM(K45,O45,S45))</f>
        <v/>
      </c>
      <c r="U45" s="22"/>
      <c r="V45" s="39" t="str">
        <f>IF(ISBLANK(Table13[[#This Row],[BW]]),"",9-ISTEXT(Table13[[#This Row],[SQ1]])-ISTEXT(Table13[[#This Row],[SQ2]])-ISTEXT(Table13[[#This Row],[SQ3]])-ISTEXT(Table13[[#This Row],[BP1]])-ISTEXT(Table13[[#This Row],[BP2]])-ISTEXT(Table13[[#This Row],[BP3]])-ISTEXT(Table13[[#This Row],[DL1]])-ISTEXT(Table13[[#This Row],[DL2]])-ISTEXT(Table13[[#This Row],[DL3]]))</f>
        <v/>
      </c>
      <c r="W45" s="54"/>
      <c r="X45" s="36"/>
      <c r="Y45" s="85">
        <f>(Table13[[#This Row],[Wilks]]+U46+U48+U49+U50+U51+U52+U55)</f>
        <v>0</v>
      </c>
    </row>
    <row r="46" spans="4:48" ht="15.75" thickBot="1" x14ac:dyDescent="0.3">
      <c r="D46" s="61"/>
      <c r="E46" s="74"/>
      <c r="F46" s="74"/>
      <c r="G46" s="62"/>
      <c r="H46" s="63"/>
      <c r="I46" s="64"/>
      <c r="J46" s="65"/>
      <c r="K46" s="55" t="str">
        <f>IF(ISBLANK(Table13[[#This Row],[SQ1]]),"",MAX(Table13[[#This Row],[SQ1]:[SQ3]]))</f>
        <v/>
      </c>
      <c r="L46" s="41"/>
      <c r="M46" s="42"/>
      <c r="N46" s="49"/>
      <c r="O46" s="52" t="str">
        <f>IF(ISBLANK(Table13[[#This Row],[BP1]]),"",MAX(Table13[[#This Row],[BP1]:[BP3]]))</f>
        <v/>
      </c>
      <c r="P46" s="41"/>
      <c r="Q46" s="42"/>
      <c r="R46" s="42"/>
      <c r="S46" s="44" t="str">
        <f>IF(ISBLANK(Table13[[#This Row],[DL1]]),"",MAX(Table13[[#This Row],[DL1]:[DL3]]))</f>
        <v/>
      </c>
      <c r="T46" s="26" t="str">
        <f>IF(ISBLANK(Table13[[#This Row],[BW]]),"",SUM(K46,O46,S46))</f>
        <v/>
      </c>
      <c r="U46" s="22"/>
      <c r="V46" s="39" t="str">
        <f>IF(ISBLANK(Table13[[#This Row],[BW]]),"",9-ISTEXT(Table13[[#This Row],[SQ1]])-ISTEXT(Table13[[#This Row],[SQ2]])-ISTEXT(Table13[[#This Row],[SQ3]])-ISTEXT(Table13[[#This Row],[BP1]])-ISTEXT(Table13[[#This Row],[BP2]])-ISTEXT(Table13[[#This Row],[BP3]])-ISTEXT(Table13[[#This Row],[DL1]])-ISTEXT(Table13[[#This Row],[DL2]])-ISTEXT(Table13[[#This Row],[DL3]]))</f>
        <v/>
      </c>
      <c r="W46" s="54"/>
      <c r="X46" s="36"/>
      <c r="Y46" s="85">
        <f>(Table13[[#This Row],[Wilks]]+U47+U49+U50+U51+U52+U53+U56)</f>
        <v>0</v>
      </c>
    </row>
    <row r="69" spans="37:40" x14ac:dyDescent="0.25">
      <c r="AK69" s="8"/>
      <c r="AL69" s="8"/>
      <c r="AM69" s="8"/>
      <c r="AN69" s="8"/>
    </row>
  </sheetData>
  <sheetProtection algorithmName="SHA-512" hashValue="kHhhepNkDW+0oxj0hNb0Ozrj66IC1BRhLwDhwubrbnTAIB0AfNioLqT+HCJR0/LNH1wxEi3VqaEyUqnhx/gyzw==" saltValue="rVF6EnVrzE1ttaK1kAUUCQ==" spinCount="100000" sheet="1" objects="1" scenarios="1"/>
  <mergeCells count="3">
    <mergeCell ref="D3:W3"/>
    <mergeCell ref="AC5:AD5"/>
    <mergeCell ref="AF5:AH5"/>
  </mergeCells>
  <conditionalFormatting sqref="AM7:AR21 P9:R21 S7:S21 L9:N21 H9:J21 H40:J46 L40:N46 P40:S46 H23:J38 L23:N38 P23:S38 AM23:AR35">
    <cfRule type="containsText" dxfId="83" priority="7" operator="containsText" text="x">
      <formula>NOT(ISERROR(SEARCH("x",H7)))</formula>
    </cfRule>
  </conditionalFormatting>
  <conditionalFormatting sqref="H7:R7 H8:J8 P8:R8 L8:N8 O8:O21 K8:K21 K40:K46 O40:O46 K23:K38 O23:O38">
    <cfRule type="containsText" dxfId="82" priority="5" operator="containsText" text="x">
      <formula>NOT(ISERROR(SEARCH("x",H7)))</formula>
    </cfRule>
  </conditionalFormatting>
  <conditionalFormatting sqref="AM39:AR39 P39:S39 L39:N39 H39:J39">
    <cfRule type="containsText" dxfId="81" priority="4" operator="containsText" text="x">
      <formula>NOT(ISERROR(SEARCH("x",H39)))</formula>
    </cfRule>
  </conditionalFormatting>
  <conditionalFormatting sqref="O39 K39">
    <cfRule type="containsText" dxfId="80" priority="3" operator="containsText" text="x">
      <formula>NOT(ISERROR(SEARCH("x",K39)))</formula>
    </cfRule>
  </conditionalFormatting>
  <conditionalFormatting sqref="H22:J22 L22:N22 P22:S22 AM22:AR22">
    <cfRule type="containsText" dxfId="79" priority="2" operator="containsText" text="x">
      <formula>NOT(ISERROR(SEARCH("x",H22)))</formula>
    </cfRule>
  </conditionalFormatting>
  <conditionalFormatting sqref="K22 O22">
    <cfRule type="containsText" dxfId="78" priority="1" operator="containsText" text="x">
      <formula>NOT(ISERROR(SEARCH("x",K22)))</formula>
    </cfRule>
  </conditionalFormatting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Progress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Bryce Lewis</dc:creator>
  <cp:keywords/>
  <dc:description/>
  <cp:lastModifiedBy>Raghul Parthipan</cp:lastModifiedBy>
  <cp:revision/>
  <dcterms:created xsi:type="dcterms:W3CDTF">2013-10-07T19:41:37Z</dcterms:created>
  <dcterms:modified xsi:type="dcterms:W3CDTF">2019-02-11T22:11:06Z</dcterms:modified>
  <cp:category/>
  <cp:contentStatus/>
</cp:coreProperties>
</file>