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htdocs\marina_backend\uploads\"/>
    </mc:Choice>
  </mc:AlternateContent>
  <bookViews>
    <workbookView xWindow="-120" yWindow="-120" windowWidth="20733" windowHeight="11160"/>
  </bookViews>
  <sheets>
    <sheet name="Pricelist" sheetId="1" r:id="rId1"/>
  </sheets>
  <definedNames>
    <definedName name="_90_Day">#REF!</definedName>
    <definedName name="_90day">Pricelist!$B$14</definedName>
    <definedName name="_lhr2">Pricelist!$B$61</definedName>
    <definedName name="_sum3">Pricelist!$B$10</definedName>
    <definedName name="_sum4">Pricelist!$B$11</definedName>
    <definedName name="_sum5">Pricelist!$B$12</definedName>
    <definedName name="_sum6">Pricelist!$B$13</definedName>
    <definedName name="_win3">Pricelist!$B$23</definedName>
    <definedName name="_win4">Pricelist!$B$24</definedName>
    <definedName name="_win5">Pricelist!$B$25</definedName>
    <definedName name="_win6">Pricelist!$B$26</definedName>
    <definedName name="abata">Pricelist!$B$6</definedName>
    <definedName name="airberth">#REF!</definedName>
    <definedName name="ann">Pricelist!$B$2</definedName>
    <definedName name="anndisc">#REF!</definedName>
    <definedName name="anni">Pricelist!$B$3</definedName>
    <definedName name="annual">#REF!</definedName>
    <definedName name="annual_installments">#REF!</definedName>
    <definedName name="annvat">#REF!</definedName>
    <definedName name="boatmover">Pricelist!$B$66</definedName>
    <definedName name="ccsur">Pricelist!$B$86</definedName>
    <definedName name="demast">Pricelist!$B$64</definedName>
    <definedName name="dinghylaunch">Pricelist!$B$67</definedName>
    <definedName name="discount">Pricelist!$B$79</definedName>
    <definedName name="eco">Pricelist!#REF!</definedName>
    <definedName name="economy">#REF!</definedName>
    <definedName name="elecmain">Pricelist!$B$71</definedName>
    <definedName name="elecport">Pricelist!#REF!</definedName>
    <definedName name="engine">Pricelist!$B$65</definedName>
    <definedName name="h_d">#REF!</definedName>
    <definedName name="harbour_dues">#REF!</definedName>
    <definedName name="hd">Pricelist!$B$46</definedName>
    <definedName name="launch7.6">Pricelist!$B$56</definedName>
    <definedName name="launch7.7">Pricelist!$B$57</definedName>
    <definedName name="lbloa">Pricelist!$B$81</definedName>
    <definedName name="lbprem">Pricelist!$B$82</definedName>
    <definedName name="lhr">Pricelist!$B$60</definedName>
    <definedName name="lift7.6">Pricelist!$B$54</definedName>
    <definedName name="lift7.7">Pricelist!$B$55</definedName>
    <definedName name="loa">Pricelist!$H$8</definedName>
    <definedName name="loaw">Pricelist!$F$8</definedName>
    <definedName name="pk7.6">Pricelist!$B$58</definedName>
    <definedName name="pk7.7">Pricelist!$B$59</definedName>
    <definedName name="pknb7.6">Pricelist!#REF!</definedName>
    <definedName name="pknb7.7">Pricelist!#REF!</definedName>
    <definedName name="prem90">Pricelist!$B$80</definedName>
    <definedName name="_xlnm.Print_Area" localSheetId="0">Pricelist!$D$1:$I$102</definedName>
    <definedName name="s_1">#REF!</definedName>
    <definedName name="s_2">#REF!</definedName>
    <definedName name="s_3">#REF!</definedName>
    <definedName name="s_4">#REF!</definedName>
    <definedName name="s_5">#REF!</definedName>
    <definedName name="s_6">#REF!</definedName>
    <definedName name="sb">Pricelist!$B$4</definedName>
    <definedName name="SB_90_Day">#REF!</definedName>
    <definedName name="sb_s_1">#REF!</definedName>
    <definedName name="sb_s_2">#REF!</definedName>
    <definedName name="sb_s_3">#REF!</definedName>
    <definedName name="sb_s_4">#REF!</definedName>
    <definedName name="sb_s_5">#REF!</definedName>
    <definedName name="sb_s_6">#REF!</definedName>
    <definedName name="sb_w_1">#REF!</definedName>
    <definedName name="sb_w_2">#REF!</definedName>
    <definedName name="sb_w_3">#REF!</definedName>
    <definedName name="sb_w_4">#REF!</definedName>
    <definedName name="sb_w_5">#REF!</definedName>
    <definedName name="sb_w_6">#REF!</definedName>
    <definedName name="sb90day">Pricelist!$B$19</definedName>
    <definedName name="sbi">Pricelist!$B$5</definedName>
    <definedName name="sbsum3">Pricelist!$B$15</definedName>
    <definedName name="sbsum4">Pricelist!$B$16</definedName>
    <definedName name="sbsum5">Pricelist!$B$17</definedName>
    <definedName name="sbsum6">Pricelist!$B$18</definedName>
    <definedName name="sbwin3">Pricelist!$B$27</definedName>
    <definedName name="sbwin4">Pricelist!$B$28</definedName>
    <definedName name="sbwin5">Pricelist!$B$29</definedName>
    <definedName name="sbwin6">Pricelist!$B$30</definedName>
    <definedName name="small_boat">#REF!</definedName>
    <definedName name="small_boat_installments">#REF!</definedName>
    <definedName name="stepmast">Pricelist!$B$63</definedName>
    <definedName name="storexcess">Pricelist!#REF!</definedName>
    <definedName name="storw">Pricelist!$B$50</definedName>
    <definedName name="svat">#REF!</definedName>
    <definedName name="tawe">#REF!</definedName>
    <definedName name="tawe_fee">#REF!</definedName>
    <definedName name="tawe12">Pricelist!$B$41</definedName>
    <definedName name="tawe3">Pricelist!$B$45</definedName>
    <definedName name="tawe4">Pricelist!$B$44</definedName>
    <definedName name="tawe5">Pricelist!$B$43</definedName>
    <definedName name="tawe6">Pricelist!$B$42</definedName>
    <definedName name="tender">#REF!</definedName>
    <definedName name="tow">Pricelist!$B$62</definedName>
    <definedName name="vat">Pricelist!$B$75</definedName>
    <definedName name="vath">Pricelist!$B$76</definedName>
    <definedName name="vis28bun">Pricelist!$B$37</definedName>
    <definedName name="visd">Pricelist!$B$34</definedName>
    <definedName name="vism">Pricelist!$B$36</definedName>
    <definedName name="visw">Pricelist!$B$35</definedName>
    <definedName name="w_1">#REF!</definedName>
    <definedName name="w_2">#REF!</definedName>
    <definedName name="w_3">#REF!</definedName>
    <definedName name="w_4">#REF!</definedName>
    <definedName name="w_5">#REF!</definedName>
    <definedName name="w_6">#REF!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0" i="1" l="1"/>
  <c r="J9" i="1" l="1"/>
  <c r="I10" i="1"/>
  <c r="H8" i="1"/>
  <c r="I87" i="1" l="1"/>
  <c r="I83" i="1"/>
  <c r="I82" i="1"/>
  <c r="B29" i="1"/>
  <c r="B17" i="1"/>
  <c r="B11" i="1"/>
  <c r="B16" i="1"/>
  <c r="I85" i="1"/>
  <c r="B42" i="1"/>
  <c r="B25" i="1"/>
  <c r="B43" i="1"/>
  <c r="B24" i="1"/>
  <c r="B44" i="1"/>
  <c r="I84" i="1"/>
  <c r="I81" i="1"/>
  <c r="I80" i="1"/>
  <c r="B28" i="1"/>
  <c r="B45" i="1"/>
  <c r="B30" i="1"/>
  <c r="B14" i="1"/>
  <c r="B12" i="1"/>
  <c r="B13" i="1"/>
  <c r="B18" i="1"/>
  <c r="I20" i="1"/>
  <c r="B26" i="1"/>
  <c r="B19" i="1"/>
  <c r="I46" i="1" l="1"/>
  <c r="I47" i="1"/>
  <c r="I71" i="1"/>
  <c r="K10" i="1"/>
  <c r="M10" i="1"/>
  <c r="I39" i="1"/>
  <c r="M11" i="1"/>
  <c r="I25" i="1"/>
  <c r="I18" i="1"/>
  <c r="I13" i="1"/>
  <c r="L17" i="1"/>
  <c r="I16" i="1"/>
  <c r="M13" i="1"/>
  <c r="I31" i="1"/>
  <c r="I17" i="1"/>
  <c r="I30" i="1"/>
  <c r="L13" i="1"/>
  <c r="I34" i="1"/>
  <c r="N17" i="1"/>
  <c r="I75" i="1"/>
  <c r="K13" i="1"/>
  <c r="I40" i="1"/>
  <c r="N12" i="1"/>
  <c r="I22" i="1"/>
  <c r="I26" i="1"/>
  <c r="M18" i="1"/>
  <c r="I72" i="1"/>
  <c r="N11" i="1"/>
  <c r="I11" i="1"/>
  <c r="N15" i="1"/>
  <c r="I77" i="1"/>
  <c r="K11" i="1"/>
  <c r="I78" i="1"/>
  <c r="M15" i="1"/>
  <c r="I42" i="1"/>
  <c r="M16" i="1"/>
  <c r="N16" i="1"/>
  <c r="I41" i="1"/>
  <c r="I44" i="1"/>
  <c r="L15" i="1"/>
  <c r="N13" i="1"/>
  <c r="I15" i="1"/>
  <c r="I23" i="1"/>
  <c r="K12" i="1"/>
  <c r="K18" i="1"/>
  <c r="M17" i="1"/>
  <c r="I28" i="1"/>
  <c r="I73" i="1"/>
  <c r="L10" i="1"/>
  <c r="L18" i="1"/>
  <c r="I24" i="1"/>
  <c r="I36" i="1"/>
  <c r="I12" i="1"/>
  <c r="K16" i="1"/>
  <c r="M12" i="1"/>
  <c r="I29" i="1"/>
  <c r="K15" i="1"/>
  <c r="O15" i="1" s="1"/>
  <c r="F68" i="1"/>
  <c r="I33" i="1"/>
  <c r="I37" i="1"/>
  <c r="L12" i="1"/>
  <c r="L16" i="1"/>
  <c r="I45" i="1"/>
  <c r="I74" i="1"/>
  <c r="N10" i="1"/>
  <c r="N18" i="1"/>
  <c r="I35" i="1"/>
  <c r="I76" i="1"/>
  <c r="K17" i="1"/>
  <c r="L11" i="1"/>
  <c r="I79" i="1"/>
  <c r="O11" i="1" l="1"/>
  <c r="O17" i="1"/>
  <c r="O16" i="1"/>
  <c r="O18" i="1"/>
  <c r="O10" i="1"/>
  <c r="O13" i="1"/>
  <c r="O12" i="1"/>
</calcChain>
</file>

<file path=xl/sharedStrings.xml><?xml version="1.0" encoding="utf-8"?>
<sst xmlns="http://schemas.openxmlformats.org/spreadsheetml/2006/main" count="125" uniqueCount="114">
  <si>
    <t>ANNUAL</t>
  </si>
  <si>
    <t>ANNUAL (SINGLE PAYMENT)</t>
  </si>
  <si>
    <t>ANNUAL (INSTALMENTS)</t>
  </si>
  <si>
    <t>SEASONAL (SUMMER)</t>
  </si>
  <si>
    <t>3 MONTHS</t>
  </si>
  <si>
    <t>SEASONAL (WINTER)</t>
  </si>
  <si>
    <t>VISITOR</t>
  </si>
  <si>
    <t>DAILY</t>
  </si>
  <si>
    <t>WEEKLY</t>
  </si>
  <si>
    <t>TAWE + HARBOUR DUES</t>
  </si>
  <si>
    <t>TAWE BARRAGE FEE (ANNUAL)</t>
  </si>
  <si>
    <t>STORAGE</t>
  </si>
  <si>
    <t>HOIST</t>
  </si>
  <si>
    <t>LIFT OUT 6.1 - 7.6</t>
  </si>
  <si>
    <t>LIFT OUT 7.7 - 25 TON</t>
  </si>
  <si>
    <t>LAUNCH OFF 6.1 - 7.6</t>
  </si>
  <si>
    <t>LAUNCH OFF 7.7 - 25 TON</t>
  </si>
  <si>
    <t>2 WEEK 6.1 - 7.6</t>
  </si>
  <si>
    <t>2 WEEK 7.7 - 25 TON</t>
  </si>
  <si>
    <t>TOW</t>
  </si>
  <si>
    <t>STEP MAST</t>
  </si>
  <si>
    <t>DEMAST</t>
  </si>
  <si>
    <t>LIFT ENGINE</t>
  </si>
  <si>
    <t>BOAT MOVER</t>
  </si>
  <si>
    <t>TAWE BARRAGE FEE (3 MONTHS)</t>
  </si>
  <si>
    <t>TAWE BARRAGE FEE (4 MONTHS)</t>
  </si>
  <si>
    <t>TAWE BARRAGE FEE (5 MONTHS)</t>
  </si>
  <si>
    <t>TAWE BARRAGE FEE (6 MONTHS)</t>
  </si>
  <si>
    <t>DINGHY LAUNCH</t>
  </si>
  <si>
    <t>ANNUAL SMALL BOATS (SINGLE PAYMENT)</t>
  </si>
  <si>
    <t>ANNUAL SMALL BOATS (INSTALMENTS)</t>
  </si>
  <si>
    <t>4 MONTHS</t>
  </si>
  <si>
    <t>5 MONTHS</t>
  </si>
  <si>
    <t>6 MONTHS</t>
  </si>
  <si>
    <t>ELECTRICITY</t>
  </si>
  <si>
    <t>MAINSLINE</t>
  </si>
  <si>
    <t>VAT RATES</t>
  </si>
  <si>
    <t>NORMAL</t>
  </si>
  <si>
    <t>HEATING FUEL</t>
  </si>
  <si>
    <t>metres</t>
  </si>
  <si>
    <t>Summer 3 Months</t>
  </si>
  <si>
    <t>Summer 4 Months</t>
  </si>
  <si>
    <t>Summer 5 Months</t>
  </si>
  <si>
    <t>Summer 6 Months</t>
  </si>
  <si>
    <t>Winter 3 Months</t>
  </si>
  <si>
    <t>Winter 4 Months</t>
  </si>
  <si>
    <t>Winter 5 Months</t>
  </si>
  <si>
    <t>Winter 6 Months</t>
  </si>
  <si>
    <t>Visitor Daily</t>
  </si>
  <si>
    <t>Visitor Weekly</t>
  </si>
  <si>
    <t>Yard Storage Weekly</t>
  </si>
  <si>
    <t>Lift, wash, hold, relaunch (max 1hr)</t>
  </si>
  <si>
    <t>Tow</t>
  </si>
  <si>
    <t>Demast</t>
  </si>
  <si>
    <t>Step Mast</t>
  </si>
  <si>
    <t>Lift Engine</t>
  </si>
  <si>
    <t>Boat Mover</t>
  </si>
  <si>
    <t>Dinghy Launch</t>
  </si>
  <si>
    <t>Launch Off 6.1m - 7.6m</t>
  </si>
  <si>
    <t>Lift out, wash off, place ashore 6.1m - 7.6m</t>
  </si>
  <si>
    <t>Lift out, wash off, place ashore 7.7m - 25 ton</t>
  </si>
  <si>
    <t>Launch Off 7.7m - 25 ton</t>
  </si>
  <si>
    <t>2 Week Package (Berth Holder) 6.1m - 7.6m</t>
  </si>
  <si>
    <t>2 Week Package (Berth Holder) 7.7m - 25 ton</t>
  </si>
  <si>
    <t>HARBOUR DUES</t>
  </si>
  <si>
    <t>Length Overall</t>
  </si>
  <si>
    <t>LHR (1HR)</t>
  </si>
  <si>
    <t>LHR (2HR)</t>
  </si>
  <si>
    <t>Lift, wash, hold, relaunch (max 2hrs)</t>
  </si>
  <si>
    <t>Electricity per kWh</t>
  </si>
  <si>
    <t>Small Boat Monthly Direct Debit</t>
  </si>
  <si>
    <t>Annual Monthly Direct Debit</t>
  </si>
  <si>
    <t>Annual 1 Advance Payment</t>
  </si>
  <si>
    <t>Small Boat 1 Advance Payment</t>
  </si>
  <si>
    <t>T &amp; U DISCOUNTS</t>
  </si>
  <si>
    <t>Small Boat Summer 3 Months</t>
  </si>
  <si>
    <t>Small Boat Winter 3 Months</t>
  </si>
  <si>
    <t>Small Boat Summer 4 Months</t>
  </si>
  <si>
    <t>Small Boat Summer 5 Months</t>
  </si>
  <si>
    <t>Small Boat Summer 6 Months</t>
  </si>
  <si>
    <t>Small Boat Winter 4 Months</t>
  </si>
  <si>
    <t>Small Boat Winter 5 Months</t>
  </si>
  <si>
    <t>Small Boat Winter 6 Months</t>
  </si>
  <si>
    <t>SB 4 MONTHS</t>
  </si>
  <si>
    <t>SB 3 MONTHS</t>
  </si>
  <si>
    <t>SB 5 MONTHS</t>
  </si>
  <si>
    <t>SB 6 MONTHS</t>
  </si>
  <si>
    <t>AIRBERTH / TENDER AFLOAT</t>
  </si>
  <si>
    <t>90 DAY</t>
  </si>
  <si>
    <t>SB 90 DAY</t>
  </si>
  <si>
    <t>90 Days ***</t>
  </si>
  <si>
    <t>Small Boat 90 Days ***</t>
  </si>
  <si>
    <t>Airberth Afloat * / Tender Afloat **</t>
  </si>
  <si>
    <t>'T' and 'U' Pontoon - Annual 1 Advance Payment - 20% Discount</t>
  </si>
  <si>
    <t>'T' and 'U' Pontoon - Annual Monthly Direct Debit - 20% Discount</t>
  </si>
  <si>
    <t>CREDIT CARD SURCHARGE</t>
  </si>
  <si>
    <t>CC SURCHARGE</t>
  </si>
  <si>
    <t>'T' and 'U' Pontoon / Small Boat Basin - Small Boat 1 Advance Payment - 20% Discount</t>
  </si>
  <si>
    <t>'T' and 'U' Pontoon / Small Boat Basin - Small Boat Monthly Direct Debit - 20% Discount</t>
  </si>
  <si>
    <t>PREMIUMS AND DISCOUTS</t>
  </si>
  <si>
    <t>90 DAY PREMIUM</t>
  </si>
  <si>
    <t>LARGE BOAT PREMIUM</t>
  </si>
  <si>
    <t>LARGE BOAT LENGTH</t>
  </si>
  <si>
    <t>Berthing Fee</t>
  </si>
  <si>
    <t>Harbour Dues</t>
  </si>
  <si>
    <t>VAT</t>
  </si>
  <si>
    <t>Tawe</t>
  </si>
  <si>
    <t>Grand Total</t>
  </si>
  <si>
    <t>Berthing Fees Breakdown</t>
  </si>
  <si>
    <t>18-19</t>
  </si>
  <si>
    <t>4 WEEKS</t>
  </si>
  <si>
    <t>Visitor 4 Weeks</t>
  </si>
  <si>
    <t>28 DAY BUNDLE</t>
  </si>
  <si>
    <t>Visitor 28 Day Bundle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</si>
</sst>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quot;£&quot;* #,##0.00_-;\-&quot;£&quot;* #,##0.00_-;_-&quot;£&quot;* &quot;-&quot;??_-;_-@_-"/>
    <numFmt numFmtId="165" formatCode="&quot;£&quot;#,##0.00"/>
    <numFmt numFmtId="166" formatCode="&quot;£&quot;#,##0.000"/>
    <numFmt numFmtId="167" formatCode="0.0%"/>
    <numFmt numFmtId="168" formatCode=";;;"/>
    <numFmt numFmtId="169" formatCode="#,##0.0"/>
  </numFmts>
  <fonts count="7" x14ac:knownFonts="1">
    <font>
      <sz val="12"/>
      <name val="Arial"/>
    </font>
    <font>
      <sz val="12"/>
      <name val="Arial"/>
    </font>
    <font>
      <sz val="8"/>
      <name val="Arial"/>
      <family val="2"/>
    </font>
    <font>
      <b/>
      <u/>
      <sz val="12"/>
      <name val="Arial"/>
      <family val="2"/>
    </font>
    <font>
      <sz val="12"/>
      <name val="Arial"/>
      <family val="2"/>
    </font>
    <font>
      <b/>
      <sz val="12"/>
      <name val="Arial"/>
      <family val="2"/>
    </font>
    <font>
      <i/>
      <sz val="12"/>
      <name val="Arial"/>
      <family val="2"/>
    </font>
  </fonts>
  <fills count="4">
    <fill>
      <patternFill patternType="none"/>
    </fill>
    <fill>
      <patternFill patternType="gray125"/>
    </fill>
    <fill>
      <patternFill patternType="solid">
        <fgColor indexed="13"/>
        <bgColor indexed="64"/>
      </patternFill>
    </fill>
    <fill>
      <patternFill patternType="solid">
        <fgColor theme="0" tint="-0.3499862666707357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8">
    <xf numFmtId="0" fontId="0" fillId="0" borderId="0" xfId="0"/>
    <xf numFmtId="165" fontId="3" fillId="0" borderId="0" xfId="0" applyNumberFormat="1" applyFont="1" applyProtection="1"/>
    <xf numFmtId="165" fontId="4" fillId="0" borderId="0" xfId="0" applyNumberFormat="1" applyFont="1" applyProtection="1"/>
    <xf numFmtId="0" fontId="4" fillId="0" borderId="0" xfId="0" applyFont="1" applyProtection="1"/>
    <xf numFmtId="10" fontId="4" fillId="0" borderId="0" xfId="0" applyNumberFormat="1" applyFont="1" applyProtection="1"/>
    <xf numFmtId="0" fontId="4" fillId="0" borderId="0" xfId="0" applyFont="1" applyAlignment="1" applyProtection="1">
      <alignment horizontal="left"/>
    </xf>
    <xf numFmtId="165" fontId="4" fillId="0" borderId="0" xfId="1" applyNumberFormat="1" applyFont="1" applyProtection="1"/>
    <xf numFmtId="0" fontId="3" fillId="0" borderId="0" xfId="0" applyFont="1" applyProtection="1"/>
    <xf numFmtId="167" fontId="4" fillId="0" borderId="0" xfId="0" applyNumberFormat="1" applyFont="1" applyProtection="1"/>
    <xf numFmtId="0" fontId="4" fillId="0" borderId="1" xfId="0" applyFont="1" applyBorder="1" applyProtection="1"/>
    <xf numFmtId="165" fontId="4" fillId="0" borderId="1" xfId="0" applyNumberFormat="1" applyFont="1" applyBorder="1" applyAlignment="1" applyProtection="1">
      <alignment horizontal="right"/>
    </xf>
    <xf numFmtId="165" fontId="4" fillId="0" borderId="0" xfId="0" applyNumberFormat="1" applyFont="1" applyAlignment="1" applyProtection="1">
      <alignment horizontal="right"/>
    </xf>
    <xf numFmtId="166" fontId="4" fillId="0" borderId="0" xfId="0" applyNumberFormat="1" applyFont="1" applyProtection="1"/>
    <xf numFmtId="168" fontId="4" fillId="0" borderId="0" xfId="0" applyNumberFormat="1" applyFont="1" applyProtection="1"/>
    <xf numFmtId="10" fontId="4" fillId="0" borderId="2" xfId="0" applyNumberFormat="1" applyFont="1" applyBorder="1" applyProtection="1"/>
    <xf numFmtId="0" fontId="4" fillId="0" borderId="2" xfId="0" applyFont="1" applyBorder="1" applyProtection="1"/>
    <xf numFmtId="165" fontId="4" fillId="0" borderId="2" xfId="0" applyNumberFormat="1" applyFont="1" applyBorder="1" applyAlignment="1" applyProtection="1">
      <alignment horizontal="right"/>
    </xf>
    <xf numFmtId="0" fontId="4" fillId="0" borderId="0" xfId="0" applyFont="1" applyFill="1" applyProtection="1"/>
    <xf numFmtId="165" fontId="4" fillId="0" borderId="1" xfId="0" applyNumberFormat="1" applyFont="1" applyBorder="1" applyProtection="1"/>
    <xf numFmtId="10" fontId="4" fillId="0" borderId="3" xfId="0" applyNumberFormat="1" applyFont="1" applyBorder="1" applyAlignment="1" applyProtection="1">
      <alignment horizontal="left"/>
    </xf>
    <xf numFmtId="0" fontId="0" fillId="0" borderId="2" xfId="0" applyBorder="1" applyAlignment="1" applyProtection="1">
      <alignment horizontal="left"/>
    </xf>
    <xf numFmtId="0" fontId="0" fillId="0" borderId="4" xfId="0" applyBorder="1" applyAlignment="1" applyProtection="1">
      <alignment horizontal="left"/>
    </xf>
    <xf numFmtId="165" fontId="5" fillId="0" borderId="0" xfId="0" applyNumberFormat="1" applyFont="1" applyAlignment="1" applyProtection="1">
      <alignment horizontal="center"/>
    </xf>
    <xf numFmtId="0" fontId="4" fillId="2" borderId="1" xfId="0" applyFont="1" applyFill="1" applyBorder="1" applyProtection="1">
      <protection locked="0"/>
    </xf>
    <xf numFmtId="165" fontId="4" fillId="0" borderId="1" xfId="0" applyNumberFormat="1" applyFont="1" applyBorder="1" applyAlignment="1" applyProtection="1">
      <alignment horizontal="center"/>
    </xf>
    <xf numFmtId="0" fontId="6" fillId="0" borderId="1" xfId="0" applyFont="1" applyBorder="1" applyAlignment="1" applyProtection="1">
      <alignment horizontal="center"/>
    </xf>
    <xf numFmtId="0" fontId="4" fillId="3" borderId="1" xfId="0" applyFont="1" applyFill="1" applyBorder="1" applyAlignment="1" applyProtection="1">
      <alignment horizontal="center"/>
    </xf>
    <xf numFmtId="10" fontId="4" fillId="2" borderId="0" xfId="0" applyNumberFormat="1" applyFont="1" applyFill="1" applyProtection="1"/>
    <xf numFmtId="169" fontId="4" fillId="2" borderId="0" xfId="0" applyNumberFormat="1" applyFont="1" applyFill="1" applyProtection="1"/>
    <xf numFmtId="0" fontId="4" fillId="0" borderId="1" xfId="0" applyFont="1" applyFill="1" applyBorder="1" applyAlignment="1" applyProtection="1"/>
    <xf numFmtId="0" fontId="0" fillId="0" borderId="1" xfId="0" applyBorder="1" applyAlignment="1" applyProtection="1"/>
    <xf numFmtId="10" fontId="4" fillId="0" borderId="1" xfId="0" quotePrefix="1" applyNumberFormat="1" applyFont="1" applyBorder="1" applyAlignment="1" applyProtection="1">
      <alignment horizontal="left"/>
    </xf>
    <xf numFmtId="10" fontId="4" fillId="0" borderId="1" xfId="0" applyNumberFormat="1" applyFont="1" applyBorder="1" applyAlignment="1" applyProtection="1">
      <alignment horizontal="left"/>
    </xf>
    <xf numFmtId="0" fontId="0" fillId="0" borderId="1" xfId="0" applyBorder="1" applyAlignment="1" applyProtection="1">
      <alignment horizontal="left"/>
    </xf>
    <xf numFmtId="10" fontId="4" fillId="0" borderId="3" xfId="0" quotePrefix="1" applyNumberFormat="1" applyFont="1" applyBorder="1" applyAlignment="1" applyProtection="1">
      <alignment horizontal="left"/>
    </xf>
    <xf numFmtId="0" fontId="0" fillId="0" borderId="2" xfId="0" applyBorder="1" applyAlignment="1" applyProtection="1">
      <alignment horizontal="left"/>
    </xf>
    <xf numFmtId="0" fontId="0" fillId="0" borderId="4" xfId="0" applyBorder="1" applyAlignment="1" applyProtection="1">
      <alignment horizontal="left"/>
    </xf>
    <xf numFmtId="10" fontId="4" fillId="0" borderId="3" xfId="0" applyNumberFormat="1" applyFont="1" applyBorder="1" applyAlignment="1" applyProtection="1">
      <alignment horizontal="left"/>
    </xf>
    <xf numFmtId="10" fontId="4" fillId="0" borderId="3" xfId="0" applyNumberFormat="1" applyFont="1" applyBorder="1" applyAlignment="1" applyProtection="1"/>
    <xf numFmtId="0" fontId="0" fillId="0" borderId="2" xfId="0" applyBorder="1" applyAlignment="1" applyProtection="1"/>
    <xf numFmtId="0" fontId="0" fillId="0" borderId="4" xfId="0" applyBorder="1" applyAlignment="1" applyProtection="1"/>
    <xf numFmtId="0" fontId="4" fillId="0" borderId="3" xfId="0" applyFont="1" applyBorder="1" applyAlignment="1" applyProtection="1"/>
    <xf numFmtId="0" fontId="5" fillId="0" borderId="1" xfId="0" applyFont="1" applyBorder="1" applyAlignment="1" applyProtection="1">
      <alignment horizontal="center"/>
    </xf>
    <xf numFmtId="0" fontId="0" fillId="0" borderId="2" xfId="0" applyBorder="1" applyAlignment="1"/>
    <xf numFmtId="0" fontId="0" fillId="0" borderId="4" xfId="0" applyBorder="1" applyAlignment="1"/>
    <xf numFmtId="10" fontId="4" fillId="0" borderId="2" xfId="0" applyNumberFormat="1" applyFont="1" applyBorder="1" applyAlignment="1" applyProtection="1">
      <alignment horizontal="left"/>
    </xf>
    <xf numFmtId="10" fontId="4" fillId="0" borderId="4" xfId="0" applyNumberFormat="1" applyFont="1" applyBorder="1" applyAlignment="1" applyProtection="1">
      <alignment horizontal="left"/>
    </xf>
    <xf numFmtId="0" fontId="4" fillId="0" borderId="1" xfId="0" applyFont="1" applyBorder="1" applyAlignment="1" applyProtection="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342900</xdr:colOff>
          <xdr:row>0</xdr:row>
          <xdr:rowOff>76200</xdr:rowOff>
        </xdr:from>
        <xdr:to>
          <xdr:col>8</xdr:col>
          <xdr:colOff>1181100</xdr:colOff>
          <xdr:row>4</xdr:row>
          <xdr:rowOff>182033</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4</xdr:col>
      <xdr:colOff>537210</xdr:colOff>
      <xdr:row>0</xdr:row>
      <xdr:rowOff>163830</xdr:rowOff>
    </xdr:from>
    <xdr:to>
      <xdr:col>8</xdr:col>
      <xdr:colOff>16</xdr:colOff>
      <xdr:row>4</xdr:row>
      <xdr:rowOff>114341</xdr:rowOff>
    </xdr:to>
    <xdr:sp macro="" textlink="">
      <xdr:nvSpPr>
        <xdr:cNvPr id="1029" name="Text Box 5">
          <a:extLst>
            <a:ext uri="{FF2B5EF4-FFF2-40B4-BE49-F238E27FC236}">
              <a16:creationId xmlns:a16="http://schemas.microsoft.com/office/drawing/2014/main" id="{00000000-0008-0000-0000-000005040000}"/>
            </a:ext>
          </a:extLst>
        </xdr:cNvPr>
        <xdr:cNvSpPr txBox="1">
          <a:spLocks noChangeArrowheads="1"/>
        </xdr:cNvSpPr>
      </xdr:nvSpPr>
      <xdr:spPr bwMode="auto">
        <a:xfrm>
          <a:off x="1790700" y="171450"/>
          <a:ext cx="4495800" cy="7143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en-GB" sz="2000" b="1" i="1" u="none" strike="noStrike" baseline="0">
              <a:solidFill>
                <a:srgbClr val="000000"/>
              </a:solidFill>
              <a:latin typeface="Arial"/>
              <a:cs typeface="Arial"/>
            </a:rPr>
            <a:t>Swansea Marina</a:t>
          </a:r>
        </a:p>
        <a:p>
          <a:pPr algn="ctr" rtl="0">
            <a:defRPr sz="1000"/>
          </a:pPr>
          <a:r>
            <a:rPr lang="en-GB" sz="2000" b="1" i="1" u="none" strike="noStrike" baseline="0">
              <a:solidFill>
                <a:srgbClr val="000000"/>
              </a:solidFill>
              <a:latin typeface="Arial"/>
              <a:cs typeface="Arial"/>
            </a:rPr>
            <a:t>2018 / 2019 Pricelist</a:t>
          </a:r>
        </a:p>
      </xdr:txBody>
    </xdr:sp>
    <xdr:clientData/>
  </xdr:twoCellAnchor>
  <xdr:twoCellAnchor>
    <xdr:from>
      <xdr:col>3</xdr:col>
      <xdr:colOff>259080</xdr:colOff>
      <xdr:row>47</xdr:row>
      <xdr:rowOff>57150</xdr:rowOff>
    </xdr:from>
    <xdr:to>
      <xdr:col>8</xdr:col>
      <xdr:colOff>939157</xdr:colOff>
      <xdr:row>60</xdr:row>
      <xdr:rowOff>85725</xdr:rowOff>
    </xdr:to>
    <xdr:sp macro="" textlink="">
      <xdr:nvSpPr>
        <xdr:cNvPr id="1030" name="Text Box 6">
          <a:extLst>
            <a:ext uri="{FF2B5EF4-FFF2-40B4-BE49-F238E27FC236}">
              <a16:creationId xmlns:a16="http://schemas.microsoft.com/office/drawing/2014/main" id="{00000000-0008-0000-0000-000006040000}"/>
            </a:ext>
          </a:extLst>
        </xdr:cNvPr>
        <xdr:cNvSpPr txBox="1">
          <a:spLocks noChangeArrowheads="1"/>
        </xdr:cNvSpPr>
      </xdr:nvSpPr>
      <xdr:spPr bwMode="auto">
        <a:xfrm>
          <a:off x="8717280" y="8982075"/>
          <a:ext cx="6957052" cy="2524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All prices are inclusive of VAT and are correct until 31/3/18.  Summmer season April - September, winter season October - March.  Multihulls with a beam of 15ft or more will attract a 50% surcharge on the standard berthing fee.</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 Airberths may only be installed with prior written consent from the Marina Manager and are charged in addition to the normal berthing fee for your vessel.  Airberths are to be stored in the berth allocated to your vessel and your vessel must use the airberth when afloat and not in use.  No additional space is provided for an airberth.</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 For your tender to qualify for the tender afloat rate, you must hold a current annual berthing licence for a larger vessel.  The tenders LOA must not exceed 4m and you must be able to demonstrate that it can be stored safely and securely aboard your main vessel.  No additional space is provided, so your tender must be secured alongside your main vessel.</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 90 Day Contracts give the contract holder up to 90 days berthing over a two consecutive boating seasons.  They are not transferable between persons are vessels.  Once the contract has expired or all 90 days are used, published visitor rates will apply.</a:t>
          </a:r>
        </a:p>
        <a:p>
          <a:pPr algn="l" rtl="0">
            <a:defRPr sz="1000"/>
          </a:pPr>
          <a:r>
            <a:rPr lang="en-GB" sz="1000" b="0" i="0" u="none" strike="noStrike" baseline="0">
              <a:solidFill>
                <a:srgbClr val="000000"/>
              </a:solidFill>
              <a:latin typeface="Arial"/>
              <a:cs typeface="Arial"/>
            </a:rPr>
            <a:t>                                                                                                                      </a:t>
          </a:r>
          <a:r>
            <a:rPr lang="en-GB" sz="1000" b="1" i="1" u="none" strike="noStrike" baseline="0">
              <a:solidFill>
                <a:srgbClr val="000000"/>
              </a:solidFill>
              <a:latin typeface="Arial"/>
              <a:cs typeface="Arial"/>
            </a:rPr>
            <a:t>  See overleaf for yard services charges</a:t>
          </a:r>
        </a:p>
      </xdr:txBody>
    </xdr:sp>
    <xdr:clientData/>
  </xdr:twoCellAnchor>
  <xdr:twoCellAnchor editAs="oneCell">
    <xdr:from>
      <xdr:col>3</xdr:col>
      <xdr:colOff>76200</xdr:colOff>
      <xdr:row>0</xdr:row>
      <xdr:rowOff>28575</xdr:rowOff>
    </xdr:from>
    <xdr:to>
      <xdr:col>3</xdr:col>
      <xdr:colOff>876300</xdr:colOff>
      <xdr:row>5</xdr:row>
      <xdr:rowOff>0</xdr:rowOff>
    </xdr:to>
    <xdr:pic>
      <xdr:nvPicPr>
        <xdr:cNvPr id="1423" name="Picture 7" descr="Marina Logo 2012">
          <a:extLst>
            <a:ext uri="{FF2B5EF4-FFF2-40B4-BE49-F238E27FC236}">
              <a16:creationId xmlns:a16="http://schemas.microsoft.com/office/drawing/2014/main" id="{00000000-0008-0000-0000-00008F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28575"/>
          <a:ext cx="8001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342900</xdr:colOff>
          <xdr:row>60</xdr:row>
          <xdr:rowOff>76200</xdr:rowOff>
        </xdr:from>
        <xdr:to>
          <xdr:col>8</xdr:col>
          <xdr:colOff>1181100</xdr:colOff>
          <xdr:row>65</xdr:row>
          <xdr:rowOff>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4</xdr:col>
      <xdr:colOff>537210</xdr:colOff>
      <xdr:row>60</xdr:row>
      <xdr:rowOff>163830</xdr:rowOff>
    </xdr:from>
    <xdr:to>
      <xdr:col>8</xdr:col>
      <xdr:colOff>16</xdr:colOff>
      <xdr:row>64</xdr:row>
      <xdr:rowOff>123886</xdr:rowOff>
    </xdr:to>
    <xdr:sp macro="" textlink="">
      <xdr:nvSpPr>
        <xdr:cNvPr id="1033" name="Text Box 9">
          <a:extLst>
            <a:ext uri="{FF2B5EF4-FFF2-40B4-BE49-F238E27FC236}">
              <a16:creationId xmlns:a16="http://schemas.microsoft.com/office/drawing/2014/main" id="{00000000-0008-0000-0000-000009040000}"/>
            </a:ext>
          </a:extLst>
        </xdr:cNvPr>
        <xdr:cNvSpPr txBox="1">
          <a:spLocks noChangeArrowheads="1"/>
        </xdr:cNvSpPr>
      </xdr:nvSpPr>
      <xdr:spPr bwMode="auto">
        <a:xfrm>
          <a:off x="1790700" y="11772900"/>
          <a:ext cx="4495800" cy="7143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0" anchor="t" upright="1"/>
        <a:lstStyle/>
        <a:p>
          <a:pPr algn="ctr" rtl="0">
            <a:defRPr sz="1000"/>
          </a:pPr>
          <a:r>
            <a:rPr lang="en-GB" sz="2000" b="1" i="1" u="none" strike="noStrike" baseline="0">
              <a:solidFill>
                <a:srgbClr val="000000"/>
              </a:solidFill>
              <a:latin typeface="Arial"/>
              <a:cs typeface="Arial"/>
            </a:rPr>
            <a:t>Swansea Marina</a:t>
          </a:r>
        </a:p>
        <a:p>
          <a:pPr algn="ctr" rtl="0">
            <a:defRPr sz="1000"/>
          </a:pPr>
          <a:r>
            <a:rPr lang="en-GB" sz="2000" b="1" i="1" u="none" strike="noStrike" baseline="0">
              <a:solidFill>
                <a:srgbClr val="000000"/>
              </a:solidFill>
              <a:latin typeface="Arial"/>
              <a:cs typeface="Arial"/>
            </a:rPr>
            <a:t>2017 / 2018 Pricelist</a:t>
          </a:r>
        </a:p>
      </xdr:txBody>
    </xdr:sp>
    <xdr:clientData/>
  </xdr:twoCellAnchor>
  <xdr:twoCellAnchor editAs="oneCell">
    <xdr:from>
      <xdr:col>3</xdr:col>
      <xdr:colOff>76200</xdr:colOff>
      <xdr:row>60</xdr:row>
      <xdr:rowOff>28575</xdr:rowOff>
    </xdr:from>
    <xdr:to>
      <xdr:col>3</xdr:col>
      <xdr:colOff>876300</xdr:colOff>
      <xdr:row>65</xdr:row>
      <xdr:rowOff>9525</xdr:rowOff>
    </xdr:to>
    <xdr:pic>
      <xdr:nvPicPr>
        <xdr:cNvPr id="1425" name="Picture 10" descr="Marina Logo 2012">
          <a:extLst>
            <a:ext uri="{FF2B5EF4-FFF2-40B4-BE49-F238E27FC236}">
              <a16:creationId xmlns:a16="http://schemas.microsoft.com/office/drawing/2014/main" id="{00000000-0008-0000-0000-000091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1449050"/>
          <a:ext cx="8001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268605</xdr:colOff>
      <xdr:row>87</xdr:row>
      <xdr:rowOff>85725</xdr:rowOff>
    </xdr:from>
    <xdr:to>
      <xdr:col>8</xdr:col>
      <xdr:colOff>948682</xdr:colOff>
      <xdr:row>101</xdr:row>
      <xdr:rowOff>28575</xdr:rowOff>
    </xdr:to>
    <xdr:sp macro="" textlink="">
      <xdr:nvSpPr>
        <xdr:cNvPr id="1035" name="Text Box 11">
          <a:extLst>
            <a:ext uri="{FF2B5EF4-FFF2-40B4-BE49-F238E27FC236}">
              <a16:creationId xmlns:a16="http://schemas.microsoft.com/office/drawing/2014/main" id="{00000000-0008-0000-0000-00000B040000}"/>
            </a:ext>
          </a:extLst>
        </xdr:cNvPr>
        <xdr:cNvSpPr txBox="1">
          <a:spLocks noChangeArrowheads="1"/>
        </xdr:cNvSpPr>
      </xdr:nvSpPr>
      <xdr:spPr bwMode="auto">
        <a:xfrm>
          <a:off x="266700" y="16878300"/>
          <a:ext cx="6972300" cy="2609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000" b="0" i="0" u="none" strike="noStrike" baseline="0">
              <a:solidFill>
                <a:srgbClr val="000000"/>
              </a:solidFill>
              <a:latin typeface="Arial"/>
              <a:cs typeface="Arial"/>
            </a:rPr>
            <a:t>All prices are inclusive of VAT and are correct until 31/3/18.  Summmer season April - September, winter season October - March.  Multihulls with a beam of 15ft or more will attract a 50% surcharge on the standard berthing fee.</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 Airberths may only be installed with prior written consent from the Marina Manager and are charged in addition to the normal berthing fee for your vessel.  Airberths are to be stored in the berth allocated to your vessel and your vessel must use the airberth when afloat and not in use.  No additional space is provided for an airberth.</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 For your tender to qualify for the tender afloat rate, you must hold a current annual berthing licence for a larger vessel.  The tenders LOA must not exceed 4m and you must be able to demonstrate that it can be stored safely and securely aboard your main vessel.  No additional space is provided, so your tender must be secured alongside your main vessel.</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 90 Day Contracts give the contract holder up to 90 days berthing over a two consecutive boating seasons.  They are not transferable between persons are vessels.  Once the contract has expired or all 90 days are used, published visitor rates will apply.</a:t>
          </a:r>
        </a:p>
        <a:p>
          <a:pPr algn="l" rtl="0">
            <a:defRPr sz="1000"/>
          </a:pPr>
          <a:r>
            <a:rPr lang="en-GB" sz="1000" b="0" i="0" u="none" strike="noStrike" baseline="0">
              <a:solidFill>
                <a:srgbClr val="000000"/>
              </a:solidFill>
              <a:latin typeface="Arial"/>
              <a:cs typeface="Arial"/>
            </a:rPr>
            <a:t>                                                                                                                       </a:t>
          </a:r>
          <a:r>
            <a:rPr lang="en-GB" sz="1000" b="1" i="1" u="none" strike="noStrike" baseline="0">
              <a:solidFill>
                <a:srgbClr val="000000"/>
              </a:solidFill>
              <a:latin typeface="Arial"/>
              <a:cs typeface="Arial"/>
            </a:rPr>
            <a:t>See overleaf for berthing charges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87"/>
  <sheetViews>
    <sheetView tabSelected="1" topLeftCell="A4" zoomScaleNormal="100" workbookViewId="0">
      <selection activeCell="J10" sqref="J10"/>
    </sheetView>
  </sheetViews>
  <sheetFormatPr defaultColWidth="32.8984375" defaultRowHeight="15" x14ac:dyDescent="0.45"/>
  <cols>
    <col min="1" max="1" width="29.1484375" style="3" customWidth="1"/>
    <col min="2" max="2" width="18.046875" style="2" customWidth="1"/>
    <col min="3" max="3" width="4.1484375" style="2" customWidth="1"/>
    <col min="4" max="4" width="14.6484375" style="3" customWidth="1"/>
    <col min="5" max="5" width="10.09765625" style="3" customWidth="1"/>
    <col min="6" max="6" width="14.6484375" style="3" customWidth="1"/>
    <col min="7" max="7" width="9.75" style="3" customWidth="1"/>
    <col min="8" max="8" width="10.1484375" style="3" customWidth="1"/>
    <col min="9" max="9" width="14.6484375" style="3" customWidth="1"/>
    <col min="10" max="10" width="10.44921875" style="3" customWidth="1"/>
    <col min="11" max="16384" width="32.8984375" style="3"/>
  </cols>
  <sheetData>
    <row r="1" spans="1:15" ht="15.35" x14ac:dyDescent="0.5">
      <c r="A1" s="1" t="s">
        <v>0</v>
      </c>
      <c r="B1" s="22" t="s">
        <v>109</v>
      </c>
      <c r="C1" s="22"/>
    </row>
    <row r="2" spans="1:15" x14ac:dyDescent="0.45">
      <c r="A2" s="2" t="s">
        <v>1</v>
      </c>
      <c r="B2" s="2">
        <v>203.26</v>
      </c>
      <c r="D2" s="4"/>
    </row>
    <row r="3" spans="1:15" x14ac:dyDescent="0.45">
      <c r="A3" s="2" t="s">
        <v>2</v>
      </c>
      <c r="B3" s="2">
        <v>217.47</v>
      </c>
      <c r="D3" s="4"/>
    </row>
    <row r="4" spans="1:15" x14ac:dyDescent="0.45">
      <c r="A4" s="2" t="s">
        <v>29</v>
      </c>
      <c r="B4" s="2">
        <v>845.63</v>
      </c>
      <c r="D4" s="4"/>
    </row>
    <row r="5" spans="1:15" x14ac:dyDescent="0.45">
      <c r="A5" s="2" t="s">
        <v>30</v>
      </c>
      <c r="B5" s="2">
        <v>905.64</v>
      </c>
      <c r="D5" s="4"/>
    </row>
    <row r="6" spans="1:15" x14ac:dyDescent="0.45">
      <c r="A6" s="2" t="s">
        <v>87</v>
      </c>
      <c r="B6" s="2">
        <v>433.34</v>
      </c>
      <c r="D6" s="4"/>
    </row>
    <row r="7" spans="1:15" x14ac:dyDescent="0.45">
      <c r="A7" s="2"/>
      <c r="D7" s="4"/>
      <c r="I7" s="17"/>
    </row>
    <row r="8" spans="1:15" ht="15.35" x14ac:dyDescent="0.5">
      <c r="D8" s="32" t="s">
        <v>65</v>
      </c>
      <c r="E8" s="32"/>
      <c r="F8" s="23">
        <v>13.1</v>
      </c>
      <c r="G8" s="9" t="s">
        <v>39</v>
      </c>
      <c r="H8" s="13">
        <f>IF(loaw&lt;=6.1,6.1,ROUNDUP(loaw,1))</f>
        <v>13.1</v>
      </c>
      <c r="K8" s="42" t="s">
        <v>108</v>
      </c>
      <c r="L8" s="42"/>
      <c r="M8" s="42"/>
      <c r="N8" s="42"/>
      <c r="O8" s="42"/>
    </row>
    <row r="9" spans="1:15" ht="15.35" x14ac:dyDescent="0.5">
      <c r="A9" s="1" t="s">
        <v>3</v>
      </c>
      <c r="D9" s="4"/>
      <c r="J9" s="3">
        <f>( ( (1+lbprem) * ann * loa ) * hd )</f>
        <v>121430.57696519999</v>
      </c>
      <c r="K9" s="25" t="s">
        <v>103</v>
      </c>
      <c r="L9" s="25" t="s">
        <v>104</v>
      </c>
      <c r="M9" s="25" t="s">
        <v>105</v>
      </c>
      <c r="N9" s="25" t="s">
        <v>106</v>
      </c>
      <c r="O9" s="25" t="s">
        <v>107</v>
      </c>
    </row>
    <row r="10" spans="1:15" x14ac:dyDescent="0.45">
      <c r="A10" s="2" t="s">
        <v>4</v>
      </c>
      <c r="B10" s="2">
        <v>74.13</v>
      </c>
      <c r="D10" s="32" t="s">
        <v>72</v>
      </c>
      <c r="E10" s="32"/>
      <c r="F10" s="32"/>
      <c r="G10" s="32"/>
      <c r="H10" s="32"/>
      <c r="I10" s="10">
        <f>IF(loa&gt;6.1,IF(loa&gt;=lbloa,ROUND( ( ( ( (1+lbprem) * ann * loa) + hd ) * (1+vat))+tawe12,2),ROUND((((ann*loa)+hd)*(1+vat))+tawe12,2)),"N/A")</f>
        <v>3522.8</v>
      </c>
      <c r="J10" s="3">
        <f>(1-discount+lbprem)</f>
        <v>0.82000000000000006</v>
      </c>
      <c r="K10" s="24">
        <f>IF(loa&gt;6.1,IF(loa&gt;=lbloa,(1+lbprem)*ann*loa,ann*loa),"N/A")</f>
        <v>2715.9601199999997</v>
      </c>
      <c r="L10" s="24">
        <f>IF(loa&gt;6.1,IF(loa&gt;=lbloa,hd,hd),"N/A")</f>
        <v>44.71</v>
      </c>
      <c r="M10" s="24">
        <f>IF(loa&gt;6.1,IF(loa&gt;=lbloa,ROUND(((((1+lbprem)*ann*loa)+hd)*vat),2),ROUND((((ann*loa)+hd)*vat),2)),"N/A")</f>
        <v>552.13</v>
      </c>
      <c r="N10" s="24">
        <f>IF(loa&gt;6.1,IF(loa&gt;=lbloa,tawe12,tawe12),"N/A")</f>
        <v>210</v>
      </c>
      <c r="O10" s="24">
        <f>IF(loa&gt;6.1,SUM(K10:N10),"N/A")</f>
        <v>3522.8001199999999</v>
      </c>
    </row>
    <row r="11" spans="1:15" x14ac:dyDescent="0.45">
      <c r="A11" s="2" t="s">
        <v>31</v>
      </c>
      <c r="B11" s="2">
        <f>ROUND(4*(_sum3/3),2)</f>
        <v>98.84</v>
      </c>
      <c r="D11" s="32" t="s">
        <v>71</v>
      </c>
      <c r="E11" s="32"/>
      <c r="F11" s="32"/>
      <c r="G11" s="32"/>
      <c r="H11" s="32"/>
      <c r="I11" s="10">
        <f>IF(loa&gt;6.1,IF(loa&gt;=lbloa,ROUND(((((1+lbprem)*anni*loa)+hd)*(1+vat))+tawe12,2),ROUND((((anni*loa)+hd)*(1+vat))+tawe12,2)),"N/A")</f>
        <v>3750.65</v>
      </c>
      <c r="K11" s="24">
        <f>IF(loa&gt;6.1,IF(loa&gt;=lbloa,(1+lbprem)*anni*loa,anni*loa),"N/A")</f>
        <v>2905.8341399999999</v>
      </c>
      <c r="L11" s="24">
        <f>IF(loa&gt;6.1,IF(loa&gt;=lbloa,hd,hd),"N/A")</f>
        <v>44.71</v>
      </c>
      <c r="M11" s="24">
        <f>IF(loa&gt;6.1,IF(loa&gt;=lbloa,ROUND(((((1+lbprem)*anni*loa)+hd)*vat),2),ROUND((((anni*loa)+hd)*vat),2)),"N/A")</f>
        <v>590.11</v>
      </c>
      <c r="N11" s="24">
        <f>IF(loa&gt;6.1,IF(loa&gt;=lbloa,tawe12,tawe12),"N/A")</f>
        <v>210</v>
      </c>
      <c r="O11" s="24">
        <f>IF(loa&gt;6.1,SUM(K11:N11),"N/A")</f>
        <v>3750.6541400000001</v>
      </c>
    </row>
    <row r="12" spans="1:15" x14ac:dyDescent="0.45">
      <c r="A12" s="2" t="s">
        <v>32</v>
      </c>
      <c r="B12" s="2">
        <f>ROUND(5*(_sum3/3),2)</f>
        <v>123.55</v>
      </c>
      <c r="D12" s="31" t="s">
        <v>93</v>
      </c>
      <c r="E12" s="32"/>
      <c r="F12" s="32"/>
      <c r="G12" s="32"/>
      <c r="H12" s="32"/>
      <c r="I12" s="10">
        <f>IF(loa&gt;6.1,IF(loa&gt;=lbloa,ROUND(((((1-discount+lbprem)*ann*loa)+hd)*(1+vat))+tawe12,2),ROUND(((((1-discount)*ann*loa)+hd)*(1+vat))+tawe12,2)),"N/A")</f>
        <v>2883.75</v>
      </c>
      <c r="K12" s="24">
        <f>IF(loa&gt;6.1,IF(loa&gt;=lbloa,(1-discount+lbprem)*ann*loa,(1-discount)*ann*loa),"N/A")</f>
        <v>2183.4189200000001</v>
      </c>
      <c r="L12" s="24">
        <f>IF(loa&gt;6.1,IF(loa&gt;=lbloa,hd,hd),"N/A")</f>
        <v>44.71</v>
      </c>
      <c r="M12" s="24">
        <f>IF(loa&gt;6.1,IF(loa&gt;=lbloa,ROUND(((((1-discount+lbprem)*ann*loa)+hd)*vat),2),ROUND(((((1-discount)*ann*loa)+hd)*vat),2)),"N/A")</f>
        <v>445.63</v>
      </c>
      <c r="N12" s="24">
        <f>IF(loa&gt;6.1,IF(loa&gt;=lbloa,tawe12,tawe12),"N/A")</f>
        <v>210</v>
      </c>
      <c r="O12" s="24">
        <f>IF(loa&gt;6.1,SUM(K12:N12),"N/A")</f>
        <v>2883.7589200000002</v>
      </c>
    </row>
    <row r="13" spans="1:15" x14ac:dyDescent="0.45">
      <c r="A13" s="2" t="s">
        <v>33</v>
      </c>
      <c r="B13" s="2">
        <f>ROUND(6*(_sum3/3),2)</f>
        <v>148.26</v>
      </c>
      <c r="D13" s="31" t="s">
        <v>94</v>
      </c>
      <c r="E13" s="32"/>
      <c r="F13" s="32"/>
      <c r="G13" s="32"/>
      <c r="H13" s="32"/>
      <c r="I13" s="10">
        <f>IF(loa&gt;6.1,IF(loa&gt;=lbloa,ROUND(((((1-discount+lbprem)*anni*loa)+hd)*(1+vat))+tawe12,2),ROUND(((((1-discount)*anni*loa)+hd)*(1+vat))+tawe12,2)),"N/A")</f>
        <v>3066.93</v>
      </c>
      <c r="K13" s="24">
        <f>IF(loa&gt;6.1,IF(loa&gt;=lbloa,(1-discount+lbprem)*anni*loa,(1-discount)*anni*loa),"N/A")</f>
        <v>2336.0627399999998</v>
      </c>
      <c r="L13" s="24">
        <f>IF(loa&gt;6.1,IF(loa&gt;=lbloa,hd,hd),"N/A")</f>
        <v>44.71</v>
      </c>
      <c r="M13" s="24">
        <f>IF(loa&gt;6.1,IF(loa&gt;=lbloa,ROUND(((((1-discount+lbprem)*anni*loa)+hd)*vat),2),ROUND(((((1-discount)*anni*loa)+hd)*vat),2)),"N/A")</f>
        <v>476.15</v>
      </c>
      <c r="N13" s="24">
        <f>IF(loa&gt;6.1,IF(loa&gt;=lbloa,tawe12,tawe12),"N/A")</f>
        <v>210</v>
      </c>
      <c r="O13" s="24">
        <f>IF(loa&gt;6.1,SUM(K13:N13),"N/A")</f>
        <v>3066.92274</v>
      </c>
    </row>
    <row r="14" spans="1:15" x14ac:dyDescent="0.45">
      <c r="A14" s="2" t="s">
        <v>88</v>
      </c>
      <c r="B14" s="2">
        <f>ROUND((1+prem90)*_sum3,2)</f>
        <v>92.66</v>
      </c>
      <c r="K14" s="26"/>
      <c r="L14" s="26"/>
      <c r="M14" s="26"/>
      <c r="N14" s="26"/>
      <c r="O14" s="26"/>
    </row>
    <row r="15" spans="1:15" x14ac:dyDescent="0.45">
      <c r="A15" s="2" t="s">
        <v>84</v>
      </c>
      <c r="B15" s="2">
        <v>308.42</v>
      </c>
      <c r="D15" s="32" t="s">
        <v>73</v>
      </c>
      <c r="E15" s="32"/>
      <c r="F15" s="32"/>
      <c r="G15" s="32"/>
      <c r="H15" s="32"/>
      <c r="I15" s="10" t="str">
        <f>IF(loa=6.1,ROUND(((sb+hd)*(1+vat))+tawe12,2),"N/A")</f>
        <v>N/A</v>
      </c>
      <c r="K15" s="24" t="str">
        <f>IF(loa=6.1,sb,"N/A")</f>
        <v>N/A</v>
      </c>
      <c r="L15" s="24" t="str">
        <f>IF(loa=6.1,hd,"N/A")</f>
        <v>N/A</v>
      </c>
      <c r="M15" s="24" t="str">
        <f>IF(loa=6.1,ROUND(((sb+hd)*vat),2),"N/A")</f>
        <v>N/A</v>
      </c>
      <c r="N15" s="24" t="str">
        <f>IF(loa=6.1,tawe12,"N/A")</f>
        <v>N/A</v>
      </c>
      <c r="O15" s="24" t="str">
        <f>IF(loa=6.1,SUM(K15:N15),"N/A")</f>
        <v>N/A</v>
      </c>
    </row>
    <row r="16" spans="1:15" x14ac:dyDescent="0.45">
      <c r="A16" s="2" t="s">
        <v>83</v>
      </c>
      <c r="B16" s="2">
        <f>ROUND(4*(sbsum3/3),2)</f>
        <v>411.23</v>
      </c>
      <c r="D16" s="37" t="s">
        <v>70</v>
      </c>
      <c r="E16" s="45"/>
      <c r="F16" s="45"/>
      <c r="G16" s="45"/>
      <c r="H16" s="46"/>
      <c r="I16" s="10" t="str">
        <f>IF(loa=6.1,ROUND(((sbi+hd)*(1+vat))+tawe12,2),"N/A")</f>
        <v>N/A</v>
      </c>
      <c r="K16" s="24" t="str">
        <f>IF(loa=6.1,sbi,"N/A")</f>
        <v>N/A</v>
      </c>
      <c r="L16" s="24" t="str">
        <f>IF(loa=6.1,hd,"N/A")</f>
        <v>N/A</v>
      </c>
      <c r="M16" s="24" t="str">
        <f>IF(loa=6.1,ROUND(((sbi+hd)*vat),2),"N/A")</f>
        <v>N/A</v>
      </c>
      <c r="N16" s="24" t="str">
        <f>IF(loa=6.1,tawe12,"N/A")</f>
        <v>N/A</v>
      </c>
      <c r="O16" s="24" t="str">
        <f>IF(loa=6.1,SUM(K16:N16),"N/A")</f>
        <v>N/A</v>
      </c>
    </row>
    <row r="17" spans="1:15" x14ac:dyDescent="0.45">
      <c r="A17" s="2" t="s">
        <v>85</v>
      </c>
      <c r="B17" s="2">
        <f>ROUND(5*(sbsum3/3),2)</f>
        <v>514.03</v>
      </c>
      <c r="D17" s="34" t="s">
        <v>97</v>
      </c>
      <c r="E17" s="35"/>
      <c r="F17" s="35"/>
      <c r="G17" s="35"/>
      <c r="H17" s="36"/>
      <c r="I17" s="10" t="str">
        <f>IF(loa=6.1,ROUND(((sb*(1-discount)+hd)*(1+vat))+tawe12,2),"N/A")</f>
        <v>N/A</v>
      </c>
      <c r="K17" s="24" t="str">
        <f>IF(loa=6.1,sb*(1-discount),"N/A")</f>
        <v>N/A</v>
      </c>
      <c r="L17" s="24" t="str">
        <f>IF(loa=6.1,hd,"N/A")</f>
        <v>N/A</v>
      </c>
      <c r="M17" s="24" t="str">
        <f>IF(loa=6.1,ROUND(((sb*(1-discount)+hd)*vat),2),"N/A")</f>
        <v>N/A</v>
      </c>
      <c r="N17" s="24" t="str">
        <f>IF(loa=6.1,tawe12,"N/A")</f>
        <v>N/A</v>
      </c>
      <c r="O17" s="24" t="str">
        <f>IF(loa=6.1,SUM(K17:N17),"N/A")</f>
        <v>N/A</v>
      </c>
    </row>
    <row r="18" spans="1:15" x14ac:dyDescent="0.45">
      <c r="A18" s="2" t="s">
        <v>86</v>
      </c>
      <c r="B18" s="2">
        <f>ROUND(6*(sbsum3/3),2)</f>
        <v>616.84</v>
      </c>
      <c r="D18" s="34" t="s">
        <v>98</v>
      </c>
      <c r="E18" s="35"/>
      <c r="F18" s="35"/>
      <c r="G18" s="35"/>
      <c r="H18" s="36"/>
      <c r="I18" s="10" t="str">
        <f>IF(loa=6.1,ROUND(((sbi*(1-discount)+hd)*(1+vat))+tawe12,2),"N/A")</f>
        <v>N/A</v>
      </c>
      <c r="K18" s="24" t="str">
        <f>IF(loa=6.1,sbi*(1-discount),"N/A")</f>
        <v>N/A</v>
      </c>
      <c r="L18" s="24" t="str">
        <f>IF(loa=6.1,hd,"N/A")</f>
        <v>N/A</v>
      </c>
      <c r="M18" s="24" t="str">
        <f>IF(loa=6.1,ROUND(((sbi*(1-discount)+hd)*vat),2),"N/A")</f>
        <v>N/A</v>
      </c>
      <c r="N18" s="24" t="str">
        <f>IF(loa=6.1,tawe12,"N/A")</f>
        <v>N/A</v>
      </c>
      <c r="O18" s="24" t="str">
        <f>IF(loa=6.1,SUM(K18:N18),"N/A")</f>
        <v>N/A</v>
      </c>
    </row>
    <row r="19" spans="1:15" x14ac:dyDescent="0.45">
      <c r="A19" s="2" t="s">
        <v>89</v>
      </c>
      <c r="B19" s="2">
        <f>ROUND((1+prem90)*sbsum3,2)</f>
        <v>385.53</v>
      </c>
    </row>
    <row r="20" spans="1:15" x14ac:dyDescent="0.45">
      <c r="D20" s="47" t="s">
        <v>92</v>
      </c>
      <c r="E20" s="47"/>
      <c r="F20" s="47"/>
      <c r="G20" s="47"/>
      <c r="H20" s="47"/>
      <c r="I20" s="18">
        <f>ROUND(abata*(1+vat),2)</f>
        <v>520.01</v>
      </c>
    </row>
    <row r="21" spans="1:15" ht="13.5" customHeight="1" x14ac:dyDescent="0.45"/>
    <row r="22" spans="1:15" ht="13.5" customHeight="1" x14ac:dyDescent="0.5">
      <c r="A22" s="1" t="s">
        <v>5</v>
      </c>
      <c r="D22" s="37" t="s">
        <v>40</v>
      </c>
      <c r="E22" s="35"/>
      <c r="F22" s="35"/>
      <c r="G22" s="35"/>
      <c r="H22" s="36"/>
      <c r="I22" s="10">
        <f>IF(loa&gt;6.1,IF(loa&gt;=lbloa,ROUND(((((1+lbprem)*_sum3*loa)+hd)*(1+vat))+tawe3,2),ROUND((((_sum3*loa)+hd)*(1+vat))+tawe3,2)),"N/A")</f>
        <v>1294.78</v>
      </c>
    </row>
    <row r="23" spans="1:15" ht="13.5" customHeight="1" x14ac:dyDescent="0.45">
      <c r="A23" s="2" t="s">
        <v>4</v>
      </c>
      <c r="B23" s="2">
        <v>59.84</v>
      </c>
      <c r="D23" s="37" t="s">
        <v>41</v>
      </c>
      <c r="E23" s="35"/>
      <c r="F23" s="35"/>
      <c r="G23" s="35"/>
      <c r="H23" s="36"/>
      <c r="I23" s="10">
        <f>IF(loa&gt;6.1,IF(loa&gt;=lbloa,ROUND(((((1+lbprem)*_sum4*loa)+hd)*(1+vat))+tawe4,2),ROUND((((_sum4*loa)+hd)*(1+vat))+tawe4,2)),"N/A")</f>
        <v>1708.49</v>
      </c>
    </row>
    <row r="24" spans="1:15" ht="13.5" customHeight="1" x14ac:dyDescent="0.45">
      <c r="A24" s="2" t="s">
        <v>31</v>
      </c>
      <c r="B24" s="2">
        <f>ROUND(4*(_win3/3),2)</f>
        <v>79.790000000000006</v>
      </c>
      <c r="D24" s="37" t="s">
        <v>42</v>
      </c>
      <c r="E24" s="35"/>
      <c r="F24" s="35"/>
      <c r="G24" s="35"/>
      <c r="H24" s="36"/>
      <c r="I24" s="10">
        <f>IF(loa&gt;6.1,IF(loa&gt;=lbloa,ROUND(((((1+lbprem)*_sum5*loa)+hd)*(1+vat))+tawe5,2),ROUND((((_sum5*loa)+hd)*(1+vat))+tawe5,2)),"N/A")</f>
        <v>2122.1999999999998</v>
      </c>
    </row>
    <row r="25" spans="1:15" x14ac:dyDescent="0.45">
      <c r="A25" s="2" t="s">
        <v>32</v>
      </c>
      <c r="B25" s="2">
        <f>ROUND(5*(_win3/3),2)</f>
        <v>99.73</v>
      </c>
      <c r="D25" s="37" t="s">
        <v>43</v>
      </c>
      <c r="E25" s="35"/>
      <c r="F25" s="35"/>
      <c r="G25" s="35"/>
      <c r="H25" s="36"/>
      <c r="I25" s="10">
        <f>IF(loa&gt;6.1,IF(loa&gt;=lbloa,ROUND(((((1+lbprem)*_sum6*loa)+hd)*(1+vat))+tawe6,2),ROUND((((_sum6*loa)+hd)*(1+vat))+tawe6,2)),"N/A")</f>
        <v>2535.91</v>
      </c>
    </row>
    <row r="26" spans="1:15" x14ac:dyDescent="0.45">
      <c r="A26" s="2" t="s">
        <v>33</v>
      </c>
      <c r="B26" s="2">
        <f>ROUND(6*(_win3/3),2)</f>
        <v>119.68</v>
      </c>
      <c r="D26" s="38" t="s">
        <v>90</v>
      </c>
      <c r="E26" s="39"/>
      <c r="F26" s="39"/>
      <c r="G26" s="39"/>
      <c r="H26" s="40"/>
      <c r="I26" s="10">
        <f>IF(loa&gt;6.1,IF(loa&gt;=lbloa,ROUND(((((1+lbprem)*_90day*loa)+hd)*(1+vat))+tawe3,2),ROUND((((_90day*loa)+hd)*(1+vat))+tawe3,2)),"N/A")</f>
        <v>1591.9</v>
      </c>
    </row>
    <row r="27" spans="1:15" x14ac:dyDescent="0.45">
      <c r="A27" s="2" t="s">
        <v>84</v>
      </c>
      <c r="B27" s="2">
        <v>248.97</v>
      </c>
    </row>
    <row r="28" spans="1:15" x14ac:dyDescent="0.45">
      <c r="A28" s="2" t="s">
        <v>83</v>
      </c>
      <c r="B28" s="2">
        <f>ROUND(4*(sbwin3/3),2)</f>
        <v>331.96</v>
      </c>
      <c r="D28" s="37" t="s">
        <v>44</v>
      </c>
      <c r="E28" s="35"/>
      <c r="F28" s="35"/>
      <c r="G28" s="35"/>
      <c r="H28" s="36"/>
      <c r="I28" s="10">
        <f>IF(loa&gt;6.1,IF(loa&gt;=lbloa,ROUND(((((1+lbprem)*_win3*loa)+hd)*(1+vat))+tawe3,2),ROUND((((_win3*loa)+hd)*(1+vat))+tawe3,2)),"N/A")</f>
        <v>1065.6500000000001</v>
      </c>
    </row>
    <row r="29" spans="1:15" x14ac:dyDescent="0.45">
      <c r="A29" s="2" t="s">
        <v>85</v>
      </c>
      <c r="B29" s="2">
        <f>ROUND(5*(sbwin3/3),2)</f>
        <v>414.95</v>
      </c>
      <c r="D29" s="37" t="s">
        <v>45</v>
      </c>
      <c r="E29" s="35"/>
      <c r="F29" s="35"/>
      <c r="G29" s="35"/>
      <c r="H29" s="36"/>
      <c r="I29" s="10">
        <f>IF(loa&gt;6.1,IF(loa&gt;=lbloa,ROUND(((((1+lbprem)*_win4*loa)+hd)*(1+vat))+tawe4,2),ROUND((((_win4*loa)+hd)*(1+vat))+tawe4,2)),"N/A")</f>
        <v>1403.04</v>
      </c>
    </row>
    <row r="30" spans="1:15" x14ac:dyDescent="0.45">
      <c r="A30" s="2" t="s">
        <v>86</v>
      </c>
      <c r="B30" s="2">
        <f>ROUND(6*(sbwin3/3),2)</f>
        <v>497.94</v>
      </c>
      <c r="D30" s="37" t="s">
        <v>46</v>
      </c>
      <c r="E30" s="35"/>
      <c r="F30" s="35"/>
      <c r="G30" s="35"/>
      <c r="H30" s="36"/>
      <c r="I30" s="10">
        <f>IF(loa&gt;6.1,IF(loa&gt;=lbloa,ROUND(((((1+lbprem)*_win5*loa)+hd)*(1+vat))+tawe5,2),ROUND((((_win5*loa)+hd)*(1+vat))+tawe5,2)),"N/A")</f>
        <v>1740.26</v>
      </c>
    </row>
    <row r="31" spans="1:15" x14ac:dyDescent="0.45">
      <c r="D31" s="37" t="s">
        <v>47</v>
      </c>
      <c r="E31" s="35"/>
      <c r="F31" s="35"/>
      <c r="G31" s="35"/>
      <c r="H31" s="36"/>
      <c r="I31" s="10">
        <f>IF(loa&gt;6.1,IF(loa&gt;=lbloa,ROUND(((((1+lbprem)*_win6*loa)+hd)*(1+vat))+tawe6,2),ROUND((((_win6*loa)+hd)*(1+vat))+tawe6,2)),"N/A")</f>
        <v>2077.65</v>
      </c>
    </row>
    <row r="32" spans="1:15" x14ac:dyDescent="0.45">
      <c r="D32" s="4"/>
      <c r="I32" s="11"/>
    </row>
    <row r="33" spans="1:9" ht="15.35" x14ac:dyDescent="0.5">
      <c r="A33" s="1" t="s">
        <v>6</v>
      </c>
      <c r="D33" s="47" t="s">
        <v>75</v>
      </c>
      <c r="E33" s="30"/>
      <c r="F33" s="30"/>
      <c r="G33" s="30"/>
      <c r="H33" s="30"/>
      <c r="I33" s="10" t="str">
        <f>IF(loa=6.1,ROUND((sbsum3+hd)*(1+vat),2)+tawe3,"N/A")</f>
        <v>N/A</v>
      </c>
    </row>
    <row r="34" spans="1:9" x14ac:dyDescent="0.45">
      <c r="A34" s="2" t="s">
        <v>7</v>
      </c>
      <c r="B34" s="2">
        <v>2.21</v>
      </c>
      <c r="D34" s="47" t="s">
        <v>77</v>
      </c>
      <c r="E34" s="30"/>
      <c r="F34" s="30"/>
      <c r="G34" s="30"/>
      <c r="H34" s="30"/>
      <c r="I34" s="10" t="str">
        <f>IF(loa=6.1,ROUND((sbsum4+hd)*(1+vat),2)+tawe4,"N/A")</f>
        <v>N/A</v>
      </c>
    </row>
    <row r="35" spans="1:9" x14ac:dyDescent="0.45">
      <c r="A35" s="2" t="s">
        <v>8</v>
      </c>
      <c r="B35" s="2">
        <v>13.26</v>
      </c>
      <c r="D35" s="47" t="s">
        <v>78</v>
      </c>
      <c r="E35" s="30"/>
      <c r="F35" s="30"/>
      <c r="G35" s="30"/>
      <c r="H35" s="30"/>
      <c r="I35" s="10" t="str">
        <f>IF(loa=6.1,ROUND((sbsum5+hd)*(1+vat),2)+tawe5,"N/A")</f>
        <v>N/A</v>
      </c>
    </row>
    <row r="36" spans="1:9" x14ac:dyDescent="0.45">
      <c r="A36" s="2" t="s">
        <v>110</v>
      </c>
      <c r="B36" s="2">
        <v>41.98</v>
      </c>
      <c r="D36" s="47" t="s">
        <v>79</v>
      </c>
      <c r="E36" s="30"/>
      <c r="F36" s="30"/>
      <c r="G36" s="30"/>
      <c r="H36" s="30"/>
      <c r="I36" s="10" t="str">
        <f>IF(loa=6.1,ROUND((sbsum6+hd)*(1+vat),2)+tawe6,"N/A")</f>
        <v>N/A</v>
      </c>
    </row>
    <row r="37" spans="1:9" x14ac:dyDescent="0.45">
      <c r="A37" s="2" t="s">
        <v>112</v>
      </c>
      <c r="B37" s="2">
        <v>41.98</v>
      </c>
      <c r="D37" s="29" t="s">
        <v>91</v>
      </c>
      <c r="E37" s="30"/>
      <c r="F37" s="30"/>
      <c r="G37" s="30"/>
      <c r="H37" s="30"/>
      <c r="I37" s="10" t="str">
        <f>IF(loa=6.1,ROUND((sb90day+hd)*(1+vat),2)+tawe3,"N/A")</f>
        <v>N/A</v>
      </c>
    </row>
    <row r="38" spans="1:9" x14ac:dyDescent="0.45">
      <c r="A38" s="2"/>
    </row>
    <row r="39" spans="1:9" x14ac:dyDescent="0.45">
      <c r="D39" s="41" t="s">
        <v>76</v>
      </c>
      <c r="E39" s="39"/>
      <c r="F39" s="39"/>
      <c r="G39" s="39"/>
      <c r="H39" s="40"/>
      <c r="I39" s="10" t="str">
        <f>IF(loa=6.1,ROUND((sbwin3+hd)*(1+vat),2)+tawe3,"N/A")</f>
        <v>N/A</v>
      </c>
    </row>
    <row r="40" spans="1:9" ht="15.35" x14ac:dyDescent="0.5">
      <c r="A40" s="1" t="s">
        <v>9</v>
      </c>
      <c r="D40" s="41" t="s">
        <v>80</v>
      </c>
      <c r="E40" s="39"/>
      <c r="F40" s="39"/>
      <c r="G40" s="39"/>
      <c r="H40" s="40"/>
      <c r="I40" s="10" t="str">
        <f>IF(loa=6.1,ROUND((sbwin4+hd)*(1+vat),2)+tawe4,"N/A")</f>
        <v>N/A</v>
      </c>
    </row>
    <row r="41" spans="1:9" x14ac:dyDescent="0.45">
      <c r="A41" s="2" t="s">
        <v>10</v>
      </c>
      <c r="B41" s="2">
        <v>210</v>
      </c>
      <c r="D41" s="41" t="s">
        <v>81</v>
      </c>
      <c r="E41" s="39"/>
      <c r="F41" s="39"/>
      <c r="G41" s="39"/>
      <c r="H41" s="40"/>
      <c r="I41" s="10" t="str">
        <f>IF(loa=6.1,ROUND((sbwin5+hd)*(1+vat),2)+tawe5,"N/A")</f>
        <v>N/A</v>
      </c>
    </row>
    <row r="42" spans="1:9" x14ac:dyDescent="0.45">
      <c r="A42" s="2" t="s">
        <v>27</v>
      </c>
      <c r="B42" s="2">
        <f>ROUND(6*(tawe12/12),2)</f>
        <v>105</v>
      </c>
      <c r="D42" s="41" t="s">
        <v>82</v>
      </c>
      <c r="E42" s="39"/>
      <c r="F42" s="39"/>
      <c r="G42" s="39"/>
      <c r="H42" s="40"/>
      <c r="I42" s="10" t="str">
        <f>IF(loa=6.1,ROUND((sbwin6+hd)*(1+vat),2)+tawe6,"N/A")</f>
        <v>N/A</v>
      </c>
    </row>
    <row r="43" spans="1:9" x14ac:dyDescent="0.45">
      <c r="A43" s="2" t="s">
        <v>26</v>
      </c>
      <c r="B43" s="2">
        <f>ROUND(5*(tawe12/12),2)</f>
        <v>87.5</v>
      </c>
    </row>
    <row r="44" spans="1:9" x14ac:dyDescent="0.45">
      <c r="A44" s="2" t="s">
        <v>25</v>
      </c>
      <c r="B44" s="2">
        <f>ROUND(4*(tawe12/12),2)</f>
        <v>70</v>
      </c>
      <c r="D44" s="32" t="s">
        <v>48</v>
      </c>
      <c r="E44" s="33"/>
      <c r="F44" s="33"/>
      <c r="G44" s="33"/>
      <c r="H44" s="33"/>
      <c r="I44" s="10">
        <f>ROUND((visd*loa)*(1+vat),2)</f>
        <v>34.74</v>
      </c>
    </row>
    <row r="45" spans="1:9" x14ac:dyDescent="0.45">
      <c r="A45" s="2" t="s">
        <v>24</v>
      </c>
      <c r="B45" s="2">
        <f>ROUND(3*(tawe12/12),2)</f>
        <v>52.5</v>
      </c>
      <c r="D45" s="32" t="s">
        <v>49</v>
      </c>
      <c r="E45" s="33"/>
      <c r="F45" s="33"/>
      <c r="G45" s="33"/>
      <c r="H45" s="33"/>
      <c r="I45" s="10">
        <f>ROUND((visw*loa)*(1+vat),2)</f>
        <v>208.45</v>
      </c>
    </row>
    <row r="46" spans="1:9" x14ac:dyDescent="0.45">
      <c r="A46" s="2" t="s">
        <v>64</v>
      </c>
      <c r="B46" s="2">
        <v>44.71</v>
      </c>
      <c r="C46" s="3"/>
      <c r="D46" s="32" t="s">
        <v>111</v>
      </c>
      <c r="E46" s="33"/>
      <c r="F46" s="33"/>
      <c r="G46" s="33"/>
      <c r="H46" s="33"/>
      <c r="I46" s="10">
        <f>ROUND((vism*loa)*(1+vat),2)</f>
        <v>659.93</v>
      </c>
    </row>
    <row r="47" spans="1:9" x14ac:dyDescent="0.45">
      <c r="B47" s="3"/>
      <c r="D47" s="38" t="s">
        <v>113</v>
      </c>
      <c r="E47" s="43"/>
      <c r="F47" s="43"/>
      <c r="G47" s="43"/>
      <c r="H47" s="44"/>
      <c r="I47" s="10">
        <f>ROUND((vis28bun*loa)*(1+vat),2)</f>
        <v>659.93</v>
      </c>
    </row>
    <row r="49" spans="1:12" ht="15.35" x14ac:dyDescent="0.5">
      <c r="A49" s="1" t="s">
        <v>11</v>
      </c>
    </row>
    <row r="50" spans="1:12" x14ac:dyDescent="0.45">
      <c r="A50" s="2" t="s">
        <v>8</v>
      </c>
      <c r="B50" s="2">
        <v>6.85</v>
      </c>
    </row>
    <row r="51" spans="1:12" x14ac:dyDescent="0.45">
      <c r="A51" s="2"/>
    </row>
    <row r="52" spans="1:12" x14ac:dyDescent="0.45">
      <c r="A52" s="2"/>
    </row>
    <row r="53" spans="1:12" ht="15.35" x14ac:dyDescent="0.5">
      <c r="A53" s="1" t="s">
        <v>12</v>
      </c>
    </row>
    <row r="54" spans="1:12" x14ac:dyDescent="0.45">
      <c r="A54" s="2" t="s">
        <v>13</v>
      </c>
      <c r="B54" s="2">
        <v>14.15</v>
      </c>
    </row>
    <row r="55" spans="1:12" x14ac:dyDescent="0.45">
      <c r="A55" s="2" t="s">
        <v>14</v>
      </c>
      <c r="B55" s="2">
        <v>16.96</v>
      </c>
    </row>
    <row r="56" spans="1:12" x14ac:dyDescent="0.45">
      <c r="A56" s="2" t="s">
        <v>15</v>
      </c>
      <c r="B56" s="2">
        <v>11.97</v>
      </c>
    </row>
    <row r="57" spans="1:12" x14ac:dyDescent="0.45">
      <c r="A57" s="2" t="s">
        <v>16</v>
      </c>
      <c r="B57" s="2">
        <v>14.74</v>
      </c>
    </row>
    <row r="58" spans="1:12" x14ac:dyDescent="0.45">
      <c r="A58" s="2" t="s">
        <v>17</v>
      </c>
      <c r="B58" s="2">
        <v>20.100000000000001</v>
      </c>
    </row>
    <row r="59" spans="1:12" x14ac:dyDescent="0.45">
      <c r="A59" s="2" t="s">
        <v>18</v>
      </c>
      <c r="B59" s="2">
        <v>23.18</v>
      </c>
    </row>
    <row r="60" spans="1:12" x14ac:dyDescent="0.45">
      <c r="A60" s="2" t="s">
        <v>66</v>
      </c>
      <c r="B60" s="2">
        <v>11.33</v>
      </c>
    </row>
    <row r="61" spans="1:12" x14ac:dyDescent="0.45">
      <c r="A61" s="2" t="s">
        <v>67</v>
      </c>
      <c r="B61" s="2">
        <v>16.489999999999998</v>
      </c>
    </row>
    <row r="62" spans="1:12" x14ac:dyDescent="0.45">
      <c r="A62" s="2" t="s">
        <v>19</v>
      </c>
      <c r="B62" s="2">
        <v>64.63</v>
      </c>
      <c r="L62" s="5"/>
    </row>
    <row r="63" spans="1:12" x14ac:dyDescent="0.45">
      <c r="A63" s="2" t="s">
        <v>20</v>
      </c>
      <c r="B63" s="2">
        <v>85.77</v>
      </c>
      <c r="L63" s="5"/>
    </row>
    <row r="64" spans="1:12" x14ac:dyDescent="0.45">
      <c r="A64" s="2" t="s">
        <v>21</v>
      </c>
      <c r="B64" s="2">
        <v>85.77</v>
      </c>
    </row>
    <row r="65" spans="1:12" x14ac:dyDescent="0.45">
      <c r="A65" s="2" t="s">
        <v>22</v>
      </c>
      <c r="B65" s="2">
        <v>73.83</v>
      </c>
      <c r="D65" s="4"/>
      <c r="J65" s="5"/>
      <c r="K65" s="5"/>
      <c r="L65" s="5"/>
    </row>
    <row r="66" spans="1:12" x14ac:dyDescent="0.45">
      <c r="A66" s="2" t="s">
        <v>23</v>
      </c>
      <c r="B66" s="2">
        <v>56.64</v>
      </c>
      <c r="C66" s="6"/>
    </row>
    <row r="67" spans="1:12" x14ac:dyDescent="0.45">
      <c r="A67" s="2" t="s">
        <v>28</v>
      </c>
      <c r="B67" s="2">
        <v>59.25</v>
      </c>
    </row>
    <row r="68" spans="1:12" x14ac:dyDescent="0.45">
      <c r="D68" s="32" t="s">
        <v>65</v>
      </c>
      <c r="E68" s="32"/>
      <c r="F68" s="9">
        <f>loa</f>
        <v>13.1</v>
      </c>
      <c r="G68" s="9" t="s">
        <v>39</v>
      </c>
    </row>
    <row r="69" spans="1:12" ht="15.35" x14ac:dyDescent="0.5">
      <c r="A69" s="7"/>
      <c r="C69" s="8"/>
    </row>
    <row r="70" spans="1:12" ht="15.35" x14ac:dyDescent="0.5">
      <c r="A70" s="7" t="s">
        <v>34</v>
      </c>
      <c r="B70" s="8"/>
      <c r="C70" s="12"/>
    </row>
    <row r="71" spans="1:12" x14ac:dyDescent="0.45">
      <c r="A71" s="3" t="s">
        <v>35</v>
      </c>
      <c r="B71" s="2">
        <v>0.15</v>
      </c>
      <c r="D71" s="19" t="s">
        <v>50</v>
      </c>
      <c r="E71" s="20"/>
      <c r="F71" s="20"/>
      <c r="G71" s="20"/>
      <c r="H71" s="21"/>
      <c r="I71" s="10">
        <f>ROUND((storw*loa)*(1+vat),2)</f>
        <v>107.68</v>
      </c>
    </row>
    <row r="72" spans="1:12" x14ac:dyDescent="0.45">
      <c r="D72" s="19" t="s">
        <v>59</v>
      </c>
      <c r="E72" s="20"/>
      <c r="F72" s="20"/>
      <c r="G72" s="20"/>
      <c r="H72" s="21"/>
      <c r="I72" s="10" t="str">
        <f>IF(loa&lt;=7.6,ROUND((lift7.6*loa)*(1+vat),2),"N/A")</f>
        <v>N/A</v>
      </c>
    </row>
    <row r="73" spans="1:12" x14ac:dyDescent="0.45">
      <c r="D73" s="19" t="s">
        <v>60</v>
      </c>
      <c r="E73" s="20"/>
      <c r="F73" s="20"/>
      <c r="G73" s="20"/>
      <c r="H73" s="21"/>
      <c r="I73" s="10">
        <f>IF(loa&gt;=7.7,ROUND((lift7.7*loa)*(1+vat),2),"N/A")</f>
        <v>266.61</v>
      </c>
    </row>
    <row r="74" spans="1:12" ht="15.35" x14ac:dyDescent="0.5">
      <c r="A74" s="7" t="s">
        <v>36</v>
      </c>
      <c r="C74" s="4"/>
      <c r="D74" s="19" t="s">
        <v>58</v>
      </c>
      <c r="E74" s="20"/>
      <c r="F74" s="20"/>
      <c r="G74" s="20"/>
      <c r="H74" s="21"/>
      <c r="I74" s="10" t="str">
        <f>IF(loa&lt;=7.6,ROUND((launch7.6*loa)*(1+vat),2),"N/A")</f>
        <v>N/A</v>
      </c>
    </row>
    <row r="75" spans="1:12" x14ac:dyDescent="0.45">
      <c r="A75" s="3" t="s">
        <v>37</v>
      </c>
      <c r="B75" s="27">
        <v>0.2</v>
      </c>
      <c r="C75" s="4"/>
      <c r="D75" s="19" t="s">
        <v>61</v>
      </c>
      <c r="E75" s="20"/>
      <c r="F75" s="20"/>
      <c r="G75" s="20"/>
      <c r="H75" s="21"/>
      <c r="I75" s="10">
        <f>IF(loa&gt;=7.7,ROUND((launch7.7*loa)*(1+vat),2),"N/A")</f>
        <v>231.71</v>
      </c>
    </row>
    <row r="76" spans="1:12" x14ac:dyDescent="0.45">
      <c r="A76" s="3" t="s">
        <v>38</v>
      </c>
      <c r="B76" s="27">
        <v>0.05</v>
      </c>
      <c r="C76" s="3"/>
      <c r="D76" s="19" t="s">
        <v>62</v>
      </c>
      <c r="E76" s="20"/>
      <c r="F76" s="20"/>
      <c r="G76" s="20"/>
      <c r="H76" s="21"/>
      <c r="I76" s="10" t="str">
        <f>IF(loa&lt;=7.6,ROUND((pk7.6*loa)*(1+vat),2),"N/A")</f>
        <v>N/A</v>
      </c>
    </row>
    <row r="77" spans="1:12" x14ac:dyDescent="0.45">
      <c r="B77" s="3"/>
      <c r="C77" s="3"/>
      <c r="D77" s="19" t="s">
        <v>63</v>
      </c>
      <c r="E77" s="20"/>
      <c r="F77" s="20"/>
      <c r="G77" s="20"/>
      <c r="H77" s="21"/>
      <c r="I77" s="10">
        <f>IF(loa&gt;=7.7,ROUND((pk7.7*loa)*(1+vat),2),"N/A")</f>
        <v>364.39</v>
      </c>
    </row>
    <row r="78" spans="1:12" ht="15.35" x14ac:dyDescent="0.5">
      <c r="A78" s="7" t="s">
        <v>99</v>
      </c>
      <c r="B78" s="3"/>
      <c r="C78" s="4"/>
      <c r="D78" s="19" t="s">
        <v>51</v>
      </c>
      <c r="E78" s="20"/>
      <c r="F78" s="20"/>
      <c r="G78" s="20"/>
      <c r="H78" s="21"/>
      <c r="I78" s="10">
        <f>ROUND((lhr*loa)*(1+vat),2)</f>
        <v>178.11</v>
      </c>
    </row>
    <row r="79" spans="1:12" x14ac:dyDescent="0.45">
      <c r="A79" s="3" t="s">
        <v>74</v>
      </c>
      <c r="B79" s="27">
        <v>0.2</v>
      </c>
      <c r="D79" s="19" t="s">
        <v>68</v>
      </c>
      <c r="E79" s="20"/>
      <c r="F79" s="20"/>
      <c r="G79" s="20"/>
      <c r="H79" s="21"/>
      <c r="I79" s="10">
        <f>ROUND((_lhr2*loa)*(1+vat),2)</f>
        <v>259.22000000000003</v>
      </c>
    </row>
    <row r="80" spans="1:12" x14ac:dyDescent="0.45">
      <c r="A80" s="3" t="s">
        <v>100</v>
      </c>
      <c r="B80" s="27">
        <v>0.25</v>
      </c>
      <c r="D80" s="19" t="s">
        <v>52</v>
      </c>
      <c r="E80" s="20"/>
      <c r="F80" s="20"/>
      <c r="G80" s="20"/>
      <c r="H80" s="21"/>
      <c r="I80" s="10">
        <f>ROUND(tow*(1+vat),2)</f>
        <v>77.56</v>
      </c>
    </row>
    <row r="81" spans="1:9" x14ac:dyDescent="0.45">
      <c r="A81" s="3" t="s">
        <v>102</v>
      </c>
      <c r="B81" s="28">
        <v>12.8</v>
      </c>
      <c r="D81" s="19" t="s">
        <v>53</v>
      </c>
      <c r="E81" s="20"/>
      <c r="F81" s="20"/>
      <c r="G81" s="20"/>
      <c r="H81" s="21"/>
      <c r="I81" s="10">
        <f>ROUND(demast*(1+vat),2)</f>
        <v>102.92</v>
      </c>
    </row>
    <row r="82" spans="1:9" x14ac:dyDescent="0.45">
      <c r="A82" s="3" t="s">
        <v>101</v>
      </c>
      <c r="B82" s="27">
        <v>0.02</v>
      </c>
      <c r="D82" s="19" t="s">
        <v>54</v>
      </c>
      <c r="E82" s="20"/>
      <c r="F82" s="20"/>
      <c r="G82" s="20"/>
      <c r="H82" s="21"/>
      <c r="I82" s="10">
        <f>ROUND(stepmast*(1+vat),2)</f>
        <v>102.92</v>
      </c>
    </row>
    <row r="83" spans="1:9" x14ac:dyDescent="0.45">
      <c r="D83" s="19" t="s">
        <v>55</v>
      </c>
      <c r="E83" s="20"/>
      <c r="F83" s="20"/>
      <c r="G83" s="20"/>
      <c r="H83" s="21"/>
      <c r="I83" s="10">
        <f>ROUND(engine*(1+vat),2)</f>
        <v>88.6</v>
      </c>
    </row>
    <row r="84" spans="1:9" x14ac:dyDescent="0.45">
      <c r="C84" s="4"/>
      <c r="D84" s="19" t="s">
        <v>56</v>
      </c>
      <c r="E84" s="20"/>
      <c r="F84" s="20"/>
      <c r="G84" s="20"/>
      <c r="H84" s="21"/>
      <c r="I84" s="10">
        <f>ROUND(boatmover*(1+vat),2)</f>
        <v>67.97</v>
      </c>
    </row>
    <row r="85" spans="1:9" ht="15.35" x14ac:dyDescent="0.5">
      <c r="A85" s="7" t="s">
        <v>95</v>
      </c>
      <c r="D85" s="19" t="s">
        <v>57</v>
      </c>
      <c r="E85" s="20"/>
      <c r="F85" s="20"/>
      <c r="G85" s="20"/>
      <c r="H85" s="21"/>
      <c r="I85" s="10">
        <f>ROUND(dinghylaunch*(1+vat),2)</f>
        <v>71.099999999999994</v>
      </c>
    </row>
    <row r="86" spans="1:9" x14ac:dyDescent="0.45">
      <c r="A86" s="3" t="s">
        <v>96</v>
      </c>
      <c r="B86" s="27">
        <v>0.02</v>
      </c>
      <c r="D86" s="14"/>
      <c r="E86" s="15"/>
      <c r="F86" s="15"/>
      <c r="G86" s="15"/>
      <c r="H86" s="15"/>
      <c r="I86" s="16"/>
    </row>
    <row r="87" spans="1:9" x14ac:dyDescent="0.45">
      <c r="D87" s="19" t="s">
        <v>69</v>
      </c>
      <c r="E87" s="20"/>
      <c r="F87" s="20"/>
      <c r="G87" s="20"/>
      <c r="H87" s="21"/>
      <c r="I87" s="10">
        <f>ROUND(elecmain*(1+vath),2)</f>
        <v>0.16</v>
      </c>
    </row>
  </sheetData>
  <mergeCells count="34">
    <mergeCell ref="D10:H10"/>
    <mergeCell ref="D31:H31"/>
    <mergeCell ref="K8:O8"/>
    <mergeCell ref="D8:E8"/>
    <mergeCell ref="D47:H47"/>
    <mergeCell ref="D16:H16"/>
    <mergeCell ref="D36:H36"/>
    <mergeCell ref="D29:H29"/>
    <mergeCell ref="D11:H11"/>
    <mergeCell ref="D15:H15"/>
    <mergeCell ref="D35:H35"/>
    <mergeCell ref="D33:H33"/>
    <mergeCell ref="D34:H34"/>
    <mergeCell ref="D23:H23"/>
    <mergeCell ref="D24:H24"/>
    <mergeCell ref="D20:H20"/>
    <mergeCell ref="D68:E68"/>
    <mergeCell ref="D44:H44"/>
    <mergeCell ref="D39:H39"/>
    <mergeCell ref="D40:H40"/>
    <mergeCell ref="D41:H41"/>
    <mergeCell ref="D42:H42"/>
    <mergeCell ref="D37:H37"/>
    <mergeCell ref="D12:H12"/>
    <mergeCell ref="D13:H13"/>
    <mergeCell ref="D45:H45"/>
    <mergeCell ref="D46:H46"/>
    <mergeCell ref="D17:H17"/>
    <mergeCell ref="D28:H28"/>
    <mergeCell ref="D30:H30"/>
    <mergeCell ref="D18:H18"/>
    <mergeCell ref="D22:H22"/>
    <mergeCell ref="D25:H25"/>
    <mergeCell ref="D26:H26"/>
  </mergeCells>
  <phoneticPr fontId="2" type="noConversion"/>
  <printOptions horizontalCentered="1" verticalCentered="1"/>
  <pageMargins left="0.74803149606299213" right="0.74803149606299213" top="0.98425196850393704" bottom="0.98425196850393704" header="0.51181102362204722" footer="0.51181102362204722"/>
  <pageSetup paperSize="9" scale="71" fitToHeight="2" orientation="portrait" r:id="rId1"/>
  <headerFooter alignWithMargins="0"/>
  <rowBreaks count="1" manualBreakCount="1">
    <brk id="60" min="3" max="8" man="1"/>
  </rowBreaks>
  <drawing r:id="rId2"/>
  <legacyDrawing r:id="rId3"/>
  <oleObjects>
    <mc:AlternateContent xmlns:mc="http://schemas.openxmlformats.org/markup-compatibility/2006">
      <mc:Choice Requires="x14">
        <oleObject progId="Photo Editor Photo" shapeId="1026" r:id="rId4">
          <objectPr defaultSize="0" autoPict="0" r:id="rId5">
            <anchor moveWithCells="1">
              <from>
                <xdr:col>8</xdr:col>
                <xdr:colOff>342900</xdr:colOff>
                <xdr:row>0</xdr:row>
                <xdr:rowOff>76200</xdr:rowOff>
              </from>
              <to>
                <xdr:col>8</xdr:col>
                <xdr:colOff>1181100</xdr:colOff>
                <xdr:row>4</xdr:row>
                <xdr:rowOff>182033</xdr:rowOff>
              </to>
            </anchor>
          </objectPr>
        </oleObject>
      </mc:Choice>
      <mc:Fallback>
        <oleObject progId="Photo Editor Photo" shapeId="1026" r:id="rId4"/>
      </mc:Fallback>
    </mc:AlternateContent>
    <mc:AlternateContent xmlns:mc="http://schemas.openxmlformats.org/markup-compatibility/2006">
      <mc:Choice Requires="x14">
        <oleObject progId="Photo Editor Photo" shapeId="1032" r:id="rId6">
          <objectPr defaultSize="0" autoPict="0" r:id="rId5">
            <anchor moveWithCells="1">
              <from>
                <xdr:col>8</xdr:col>
                <xdr:colOff>342900</xdr:colOff>
                <xdr:row>60</xdr:row>
                <xdr:rowOff>76200</xdr:rowOff>
              </from>
              <to>
                <xdr:col>8</xdr:col>
                <xdr:colOff>1181100</xdr:colOff>
                <xdr:row>65</xdr:row>
                <xdr:rowOff>0</xdr:rowOff>
              </to>
            </anchor>
          </objectPr>
        </oleObject>
      </mc:Choice>
      <mc:Fallback>
        <oleObject progId="Photo Editor Photo" shapeId="1032"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59</vt:i4>
      </vt:variant>
    </vt:vector>
  </HeadingPairs>
  <TitlesOfParts>
    <vt:vector size="60" baseType="lpstr">
      <vt:lpstr>Pricelist</vt:lpstr>
      <vt:lpstr>_90day</vt:lpstr>
      <vt:lpstr>_lhr2</vt:lpstr>
      <vt:lpstr>_sum3</vt:lpstr>
      <vt:lpstr>_sum4</vt:lpstr>
      <vt:lpstr>_sum5</vt:lpstr>
      <vt:lpstr>_sum6</vt:lpstr>
      <vt:lpstr>_win3</vt:lpstr>
      <vt:lpstr>_win4</vt:lpstr>
      <vt:lpstr>_win5</vt:lpstr>
      <vt:lpstr>_win6</vt:lpstr>
      <vt:lpstr>abata</vt:lpstr>
      <vt:lpstr>ann</vt:lpstr>
      <vt:lpstr>anni</vt:lpstr>
      <vt:lpstr>boatmover</vt:lpstr>
      <vt:lpstr>ccsur</vt:lpstr>
      <vt:lpstr>demast</vt:lpstr>
      <vt:lpstr>dinghylaunch</vt:lpstr>
      <vt:lpstr>discount</vt:lpstr>
      <vt:lpstr>elecmain</vt:lpstr>
      <vt:lpstr>engine</vt:lpstr>
      <vt:lpstr>hd</vt:lpstr>
      <vt:lpstr>launch7.6</vt:lpstr>
      <vt:lpstr>launch7.7</vt:lpstr>
      <vt:lpstr>lbloa</vt:lpstr>
      <vt:lpstr>lbprem</vt:lpstr>
      <vt:lpstr>lhr</vt:lpstr>
      <vt:lpstr>lift7.6</vt:lpstr>
      <vt:lpstr>lift7.7</vt:lpstr>
      <vt:lpstr>loa</vt:lpstr>
      <vt:lpstr>loaw</vt:lpstr>
      <vt:lpstr>pk7.6</vt:lpstr>
      <vt:lpstr>pk7.7</vt:lpstr>
      <vt:lpstr>prem90</vt:lpstr>
      <vt:lpstr>Pricelist!Print_Area</vt:lpstr>
      <vt:lpstr>sb</vt:lpstr>
      <vt:lpstr>sb90day</vt:lpstr>
      <vt:lpstr>sbi</vt:lpstr>
      <vt:lpstr>sbsum3</vt:lpstr>
      <vt:lpstr>sbsum4</vt:lpstr>
      <vt:lpstr>sbsum5</vt:lpstr>
      <vt:lpstr>sbsum6</vt:lpstr>
      <vt:lpstr>sbwin3</vt:lpstr>
      <vt:lpstr>sbwin4</vt:lpstr>
      <vt:lpstr>sbwin5</vt:lpstr>
      <vt:lpstr>sbwin6</vt:lpstr>
      <vt:lpstr>stepmast</vt:lpstr>
      <vt:lpstr>storw</vt:lpstr>
      <vt:lpstr>tawe12</vt:lpstr>
      <vt:lpstr>tawe3</vt:lpstr>
      <vt:lpstr>tawe4</vt:lpstr>
      <vt:lpstr>tawe5</vt:lpstr>
      <vt:lpstr>tawe6</vt:lpstr>
      <vt:lpstr>tow</vt:lpstr>
      <vt:lpstr>vat</vt:lpstr>
      <vt:lpstr>vath</vt:lpstr>
      <vt:lpstr>vis28bun</vt:lpstr>
      <vt:lpstr>visd</vt:lpstr>
      <vt:lpstr>vism</vt:lpstr>
      <vt:lpstr>visw</vt:lpstr>
    </vt:vector>
  </TitlesOfParts>
  <Company>City &amp; County of Swansea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City &amp; County of Swansea</dc:creator>
  <cp:lastModifiedBy>asus</cp:lastModifiedBy>
  <cp:lastPrinted>2018-11-14T12:38:18Z</cp:lastPrinted>
  <dcterms:created xsi:type="dcterms:W3CDTF">2002-01-02T12:49:03Z</dcterms:created>
  <dcterms:modified xsi:type="dcterms:W3CDTF">2019-05-28T03:27:58Z</dcterms:modified>
</cp:coreProperties>
</file>