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tdocs\marina_backend\uploads\temp\"/>
    </mc:Choice>
  </mc:AlternateContent>
  <bookViews>
    <workbookView xWindow="-120" yWindow="-120" windowWidth="20733" windowHeight="11160"/>
  </bookViews>
  <sheets>
    <sheet name="Pricelist" sheetId="1" r:id="rId1"/>
  </sheets>
  <definedNames>
    <definedName name="_90_Day">#REF!</definedName>
    <definedName name="_90day">Pricelist!$B$14</definedName>
    <definedName name="_lhr2">Pricelist!$B$61</definedName>
    <definedName name="_sum3">Pricelist!$B$10</definedName>
    <definedName name="_sum4">Pricelist!$B$11</definedName>
    <definedName name="_sum5">Pricelist!$B$12</definedName>
    <definedName name="_sum6">Pricelist!$B$13</definedName>
    <definedName name="_win3">Pricelist!$B$23</definedName>
    <definedName name="_win4">Pricelist!$B$24</definedName>
    <definedName name="_win5">Pricelist!$B$25</definedName>
    <definedName name="_win6">Pricelist!$B$26</definedName>
    <definedName name="abata">Pricelist!$B$6</definedName>
    <definedName name="airberth">#REF!</definedName>
    <definedName name="ann">Pricelist!$B$2</definedName>
    <definedName name="anndisc">#REF!</definedName>
    <definedName name="anni">Pricelist!$B$3</definedName>
    <definedName name="annual">#REF!</definedName>
    <definedName name="annual_installments">#REF!</definedName>
    <definedName name="annvat">#REF!</definedName>
    <definedName name="boatmover">Pricelist!$B$66</definedName>
    <definedName name="ccsur">Pricelist!$B$86</definedName>
    <definedName name="demast">Pricelist!$B$64</definedName>
    <definedName name="dinghylaunch">Pricelist!$B$67</definedName>
    <definedName name="discount">Pricelist!$B$79</definedName>
    <definedName name="eco">Pricelist!#REF!</definedName>
    <definedName name="economy">#REF!</definedName>
    <definedName name="elecmain">Pricelist!$B$71</definedName>
    <definedName name="elecport">Pricelist!#REF!</definedName>
    <definedName name="engine">Pricelist!$B$65</definedName>
    <definedName name="h_d">#REF!</definedName>
    <definedName name="harbour_dues">#REF!</definedName>
    <definedName name="hd">Pricelist!$B$46</definedName>
    <definedName name="launch7.6">Pricelist!$B$56</definedName>
    <definedName name="launch7.7">Pricelist!$B$57</definedName>
    <definedName name="lbloa">Pricelist!$B$81</definedName>
    <definedName name="lbprem">Pricelist!$B$82</definedName>
    <definedName name="lhr">Pricelist!$B$60</definedName>
    <definedName name="lift7.6">Pricelist!$B$54</definedName>
    <definedName name="lift7.7">Pricelist!$B$55</definedName>
    <definedName name="loa">Pricelist!$H$8</definedName>
    <definedName name="loaw">Pricelist!$F$8</definedName>
    <definedName name="pk7.6">Pricelist!$B$58</definedName>
    <definedName name="pk7.7">Pricelist!$B$59</definedName>
    <definedName name="pknb7.6">Pricelist!#REF!</definedName>
    <definedName name="pknb7.7">Pricelist!#REF!</definedName>
    <definedName name="prem90">Pricelist!$B$80</definedName>
    <definedName name="_xlnm.Print_Area" localSheetId="0">Pricelist!$D$1:$I$102</definedName>
    <definedName name="s_1">#REF!</definedName>
    <definedName name="s_2">#REF!</definedName>
    <definedName name="s_3">#REF!</definedName>
    <definedName name="s_4">#REF!</definedName>
    <definedName name="s_5">#REF!</definedName>
    <definedName name="s_6">#REF!</definedName>
    <definedName name="sb">Pricelist!$B$4</definedName>
    <definedName name="SB_90_Day">#REF!</definedName>
    <definedName name="sb_s_1">#REF!</definedName>
    <definedName name="sb_s_2">#REF!</definedName>
    <definedName name="sb_s_3">#REF!</definedName>
    <definedName name="sb_s_4">#REF!</definedName>
    <definedName name="sb_s_5">#REF!</definedName>
    <definedName name="sb_s_6">#REF!</definedName>
    <definedName name="sb_w_1">#REF!</definedName>
    <definedName name="sb_w_2">#REF!</definedName>
    <definedName name="sb_w_3">#REF!</definedName>
    <definedName name="sb_w_4">#REF!</definedName>
    <definedName name="sb_w_5">#REF!</definedName>
    <definedName name="sb_w_6">#REF!</definedName>
    <definedName name="sb90day">Pricelist!$B$19</definedName>
    <definedName name="sbi">Pricelist!$B$5</definedName>
    <definedName name="sbsum3">Pricelist!$B$15</definedName>
    <definedName name="sbsum4">Pricelist!$B$16</definedName>
    <definedName name="sbsum5">Pricelist!$B$17</definedName>
    <definedName name="sbsum6">Pricelist!$B$18</definedName>
    <definedName name="sbwin3">Pricelist!$B$27</definedName>
    <definedName name="sbwin4">Pricelist!$B$28</definedName>
    <definedName name="sbwin5">Pricelist!$B$29</definedName>
    <definedName name="sbwin6">Pricelist!$B$30</definedName>
    <definedName name="small_boat">#REF!</definedName>
    <definedName name="small_boat_installments">#REF!</definedName>
    <definedName name="stepmast">Pricelist!$B$63</definedName>
    <definedName name="storexcess">Pricelist!#REF!</definedName>
    <definedName name="storw">Pricelist!$B$50</definedName>
    <definedName name="svat">#REF!</definedName>
    <definedName name="tawe">#REF!</definedName>
    <definedName name="tawe_fee">#REF!</definedName>
    <definedName name="tawe12">Pricelist!$B$41</definedName>
    <definedName name="tawe3">Pricelist!$B$45</definedName>
    <definedName name="tawe4">Pricelist!$B$44</definedName>
    <definedName name="tawe5">Pricelist!$B$43</definedName>
    <definedName name="tawe6">Pricelist!$B$42</definedName>
    <definedName name="tender">#REF!</definedName>
    <definedName name="tow">Pricelist!$B$62</definedName>
    <definedName name="vat">Pricelist!$B$75</definedName>
    <definedName name="vath">Pricelist!$B$76</definedName>
    <definedName name="vis28bun">Pricelist!$B$37</definedName>
    <definedName name="visd">Pricelist!$B$34</definedName>
    <definedName name="vism">Pricelist!$B$36</definedName>
    <definedName name="visw">Pricelist!$B$35</definedName>
    <definedName name="w_1">#REF!</definedName>
    <definedName name="w_2">#REF!</definedName>
    <definedName name="w_3">#REF!</definedName>
    <definedName name="w_4">#REF!</definedName>
    <definedName name="w_5">#REF!</definedName>
    <definedName name="w_6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1" l="1"/>
  <c r="I87" i="1" l="1"/>
  <c r="I83" i="1"/>
  <c r="I82" i="1"/>
  <c r="B29" i="1"/>
  <c r="B17" i="1"/>
  <c r="B11" i="1"/>
  <c r="B16" i="1"/>
  <c r="I85" i="1"/>
  <c r="H8" i="1"/>
  <c r="B42" i="1"/>
  <c r="B25" i="1"/>
  <c r="B43" i="1"/>
  <c r="B24" i="1"/>
  <c r="B44" i="1"/>
  <c r="I84" i="1"/>
  <c r="I81" i="1"/>
  <c r="I80" i="1"/>
  <c r="B28" i="1"/>
  <c r="B45" i="1"/>
  <c r="B30" i="1"/>
  <c r="B14" i="1"/>
  <c r="B12" i="1"/>
  <c r="B13" i="1"/>
  <c r="B18" i="1"/>
  <c r="I20" i="1"/>
  <c r="B26" i="1"/>
  <c r="B19" i="1"/>
  <c r="I46" i="1" l="1"/>
  <c r="I47" i="1"/>
  <c r="I71" i="1"/>
  <c r="K10" i="1"/>
  <c r="M10" i="1"/>
  <c r="I39" i="1"/>
  <c r="M11" i="1"/>
  <c r="I25" i="1"/>
  <c r="I18" i="1"/>
  <c r="I13" i="1"/>
  <c r="L17" i="1"/>
  <c r="I16" i="1"/>
  <c r="M13" i="1"/>
  <c r="I31" i="1"/>
  <c r="I17" i="1"/>
  <c r="I30" i="1"/>
  <c r="L13" i="1"/>
  <c r="I34" i="1"/>
  <c r="N17" i="1"/>
  <c r="I75" i="1"/>
  <c r="K13" i="1"/>
  <c r="I40" i="1"/>
  <c r="N12" i="1"/>
  <c r="I22" i="1"/>
  <c r="I26" i="1"/>
  <c r="M18" i="1"/>
  <c r="I72" i="1"/>
  <c r="N11" i="1"/>
  <c r="I11" i="1"/>
  <c r="N15" i="1"/>
  <c r="I77" i="1"/>
  <c r="K11" i="1"/>
  <c r="I78" i="1"/>
  <c r="M15" i="1"/>
  <c r="I42" i="1"/>
  <c r="M16" i="1"/>
  <c r="N16" i="1"/>
  <c r="I41" i="1"/>
  <c r="I44" i="1"/>
  <c r="L15" i="1"/>
  <c r="N13" i="1"/>
  <c r="I23" i="1"/>
  <c r="K12" i="1"/>
  <c r="K18" i="1"/>
  <c r="M17" i="1"/>
  <c r="I28" i="1"/>
  <c r="I73" i="1"/>
  <c r="L10" i="1"/>
  <c r="L18" i="1"/>
  <c r="I24" i="1"/>
  <c r="I36" i="1"/>
  <c r="I12" i="1"/>
  <c r="K16" i="1"/>
  <c r="M12" i="1"/>
  <c r="I29" i="1"/>
  <c r="I10" i="1"/>
  <c r="K15" i="1"/>
  <c r="O15" i="1" s="1"/>
  <c r="F68" i="1"/>
  <c r="I33" i="1"/>
  <c r="I37" i="1"/>
  <c r="L12" i="1"/>
  <c r="L16" i="1"/>
  <c r="I45" i="1"/>
  <c r="I74" i="1"/>
  <c r="N10" i="1"/>
  <c r="N18" i="1"/>
  <c r="I35" i="1"/>
  <c r="I76" i="1"/>
  <c r="K17" i="1"/>
  <c r="L11" i="1"/>
  <c r="O11" i="1" s="1"/>
  <c r="I79" i="1"/>
  <c r="O17" i="1" l="1"/>
  <c r="O16" i="1"/>
  <c r="O18" i="1"/>
  <c r="O10" i="1"/>
  <c r="O13" i="1"/>
  <c r="O12" i="1"/>
</calcChain>
</file>

<file path=xl/sharedStrings.xml><?xml version="1.0" encoding="utf-8"?>
<sst xmlns="http://schemas.openxmlformats.org/spreadsheetml/2006/main" count="125" uniqueCount="114">
  <si>
    <t>ANNUAL</t>
  </si>
  <si>
    <t>ANNUAL (SINGLE PAYMENT)</t>
  </si>
  <si>
    <t>ANNUAL (INSTALMENTS)</t>
  </si>
  <si>
    <t>SEASONAL (SUMMER)</t>
  </si>
  <si>
    <t>3 MONTHS</t>
  </si>
  <si>
    <t>SEASONAL (WINTER)</t>
  </si>
  <si>
    <t>VISITOR</t>
  </si>
  <si>
    <t>DAILY</t>
  </si>
  <si>
    <t>WEEKLY</t>
  </si>
  <si>
    <t>TAWE + HARBOUR DUES</t>
  </si>
  <si>
    <t>TAWE BARRAGE FEE (ANNUAL)</t>
  </si>
  <si>
    <t>STORAGE</t>
  </si>
  <si>
    <t>HOIST</t>
  </si>
  <si>
    <t>LIFT OUT 6.1 - 7.6</t>
  </si>
  <si>
    <t>LIFT OUT 7.7 - 25 TON</t>
  </si>
  <si>
    <t>LAUNCH OFF 6.1 - 7.6</t>
  </si>
  <si>
    <t>LAUNCH OFF 7.7 - 25 TON</t>
  </si>
  <si>
    <t>2 WEEK 6.1 - 7.6</t>
  </si>
  <si>
    <t>2 WEEK 7.7 - 25 TON</t>
  </si>
  <si>
    <t>TOW</t>
  </si>
  <si>
    <t>STEP MAST</t>
  </si>
  <si>
    <t>DEMAST</t>
  </si>
  <si>
    <t>LIFT ENGINE</t>
  </si>
  <si>
    <t>BOAT MOVER</t>
  </si>
  <si>
    <t>TAWE BARRAGE FEE (3 MONTHS)</t>
  </si>
  <si>
    <t>TAWE BARRAGE FEE (4 MONTHS)</t>
  </si>
  <si>
    <t>TAWE BARRAGE FEE (5 MONTHS)</t>
  </si>
  <si>
    <t>TAWE BARRAGE FEE (6 MONTHS)</t>
  </si>
  <si>
    <t>DINGHY LAUNCH</t>
  </si>
  <si>
    <t>ANNUAL SMALL BOATS (SINGLE PAYMENT)</t>
  </si>
  <si>
    <t>ANNUAL SMALL BOATS (INSTALMENTS)</t>
  </si>
  <si>
    <t>4 MONTHS</t>
  </si>
  <si>
    <t>5 MONTHS</t>
  </si>
  <si>
    <t>6 MONTHS</t>
  </si>
  <si>
    <t>ELECTRICITY</t>
  </si>
  <si>
    <t>MAINSLINE</t>
  </si>
  <si>
    <t>VAT RATES</t>
  </si>
  <si>
    <t>NORMAL</t>
  </si>
  <si>
    <t>HEATING FUEL</t>
  </si>
  <si>
    <t>metres</t>
  </si>
  <si>
    <t>Summer 3 Months</t>
  </si>
  <si>
    <t>Summer 4 Months</t>
  </si>
  <si>
    <t>Summer 5 Months</t>
  </si>
  <si>
    <t>Summer 6 Months</t>
  </si>
  <si>
    <t>Winter 3 Months</t>
  </si>
  <si>
    <t>Winter 4 Months</t>
  </si>
  <si>
    <t>Winter 5 Months</t>
  </si>
  <si>
    <t>Winter 6 Months</t>
  </si>
  <si>
    <t>Visitor Daily</t>
  </si>
  <si>
    <t>Visitor Weekly</t>
  </si>
  <si>
    <t>Yard Storage Weekly</t>
  </si>
  <si>
    <t>Lift, wash, hold, relaunch (max 1hr)</t>
  </si>
  <si>
    <t>Tow</t>
  </si>
  <si>
    <t>Demast</t>
  </si>
  <si>
    <t>Step Mast</t>
  </si>
  <si>
    <t>Lift Engine</t>
  </si>
  <si>
    <t>Boat Mover</t>
  </si>
  <si>
    <t>Dinghy Launch</t>
  </si>
  <si>
    <t>Launch Off 6.1m - 7.6m</t>
  </si>
  <si>
    <t>Lift out, wash off, place ashore 6.1m - 7.6m</t>
  </si>
  <si>
    <t>Lift out, wash off, place ashore 7.7m - 25 ton</t>
  </si>
  <si>
    <t>Launch Off 7.7m - 25 ton</t>
  </si>
  <si>
    <t>2 Week Package (Berth Holder) 6.1m - 7.6m</t>
  </si>
  <si>
    <t>2 Week Package (Berth Holder) 7.7m - 25 ton</t>
  </si>
  <si>
    <t>HARBOUR DUES</t>
  </si>
  <si>
    <t>Length Overall</t>
  </si>
  <si>
    <t>LHR (1HR)</t>
  </si>
  <si>
    <t>LHR (2HR)</t>
  </si>
  <si>
    <t>Lift, wash, hold, relaunch (max 2hrs)</t>
  </si>
  <si>
    <t>Electricity per kWh</t>
  </si>
  <si>
    <t>Small Boat Monthly Direct Debit</t>
  </si>
  <si>
    <t>Annual Monthly Direct Debit</t>
  </si>
  <si>
    <t>Annual 1 Advance Payment</t>
  </si>
  <si>
    <t>Small Boat 1 Advance Payment</t>
  </si>
  <si>
    <t>T &amp; U DISCOUNTS</t>
  </si>
  <si>
    <t>Small Boat Summer 3 Months</t>
  </si>
  <si>
    <t>Small Boat Winter 3 Months</t>
  </si>
  <si>
    <t>Small Boat Summer 4 Months</t>
  </si>
  <si>
    <t>Small Boat Summer 5 Months</t>
  </si>
  <si>
    <t>Small Boat Summer 6 Months</t>
  </si>
  <si>
    <t>Small Boat Winter 4 Months</t>
  </si>
  <si>
    <t>Small Boat Winter 5 Months</t>
  </si>
  <si>
    <t>Small Boat Winter 6 Months</t>
  </si>
  <si>
    <t>SB 4 MONTHS</t>
  </si>
  <si>
    <t>SB 3 MONTHS</t>
  </si>
  <si>
    <t>SB 5 MONTHS</t>
  </si>
  <si>
    <t>SB 6 MONTHS</t>
  </si>
  <si>
    <t>AIRBERTH / TENDER AFLOAT</t>
  </si>
  <si>
    <t>90 DAY</t>
  </si>
  <si>
    <t>SB 90 DAY</t>
  </si>
  <si>
    <t>90 Days ***</t>
  </si>
  <si>
    <t>Small Boat 90 Days ***</t>
  </si>
  <si>
    <t>Airberth Afloat * / Tender Afloat **</t>
  </si>
  <si>
    <t>'T' and 'U' Pontoon - Annual 1 Advance Payment - 20% Discount</t>
  </si>
  <si>
    <t>'T' and 'U' Pontoon - Annual Monthly Direct Debit - 20% Discount</t>
  </si>
  <si>
    <t>CREDIT CARD SURCHARGE</t>
  </si>
  <si>
    <t>CC SURCHARGE</t>
  </si>
  <si>
    <t>'T' and 'U' Pontoon / Small Boat Basin - Small Boat 1 Advance Payment - 20% Discount</t>
  </si>
  <si>
    <t>'T' and 'U' Pontoon / Small Boat Basin - Small Boat Monthly Direct Debit - 20% Discount</t>
  </si>
  <si>
    <t>PREMIUMS AND DISCOUTS</t>
  </si>
  <si>
    <t>90 DAY PREMIUM</t>
  </si>
  <si>
    <t>LARGE BOAT PREMIUM</t>
  </si>
  <si>
    <t>LARGE BOAT LENGTH</t>
  </si>
  <si>
    <t>Berthing Fee</t>
  </si>
  <si>
    <t>Harbour Dues</t>
  </si>
  <si>
    <t>VAT</t>
  </si>
  <si>
    <t>Tawe</t>
  </si>
  <si>
    <t>Grand Total</t>
  </si>
  <si>
    <t>Berthing Fees Breakdown</t>
  </si>
  <si>
    <t>18-19</t>
  </si>
  <si>
    <t>4 WEEKS</t>
  </si>
  <si>
    <t>Visitor 4 Weeks</t>
  </si>
  <si>
    <t>28 DAY BUNDLE</t>
  </si>
  <si>
    <t>Visitor 28 Day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</si>
</sst>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&quot;£&quot;* #,##0.00_-;\-&quot;£&quot;* #,##0.00_-;_-&quot;£&quot;* &quot;-&quot;??_-;_-@_-"/>
    <numFmt numFmtId="165" formatCode="&quot;£&quot;#,##0.00"/>
    <numFmt numFmtId="166" formatCode="&quot;£&quot;#,##0.000"/>
    <numFmt numFmtId="167" formatCode="0.0%"/>
    <numFmt numFmtId="168" formatCode=";;;"/>
    <numFmt numFmtId="169" formatCode="#,##0.0"/>
  </numFmts>
  <fonts count="7" x14ac:knownFonts="1">
    <font>
      <sz val="12"/>
      <name val="Arial"/>
    </font>
    <font>
      <sz val="12"/>
      <name val="Arial"/>
    </font>
    <font>
      <sz val="8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165" fontId="3" fillId="0" borderId="0" xfId="0" applyNumberFormat="1" applyFont="1" applyProtection="1"/>
    <xf numFmtId="165" fontId="4" fillId="0" borderId="0" xfId="0" applyNumberFormat="1" applyFont="1" applyProtection="1"/>
    <xf numFmtId="0" fontId="4" fillId="0" borderId="0" xfId="0" applyFont="1" applyProtection="1"/>
    <xf numFmtId="10" fontId="4" fillId="0" borderId="0" xfId="0" applyNumberFormat="1" applyFont="1" applyProtection="1"/>
    <xf numFmtId="0" fontId="4" fillId="0" borderId="0" xfId="0" applyFont="1" applyAlignment="1" applyProtection="1">
      <alignment horizontal="left"/>
    </xf>
    <xf numFmtId="165" fontId="4" fillId="0" borderId="0" xfId="1" applyNumberFormat="1" applyFont="1" applyProtection="1"/>
    <xf numFmtId="0" fontId="3" fillId="0" borderId="0" xfId="0" applyFont="1" applyProtection="1"/>
    <xf numFmtId="167" fontId="4" fillId="0" borderId="0" xfId="0" applyNumberFormat="1" applyFont="1" applyProtection="1"/>
    <xf numFmtId="0" fontId="4" fillId="0" borderId="1" xfId="0" applyFont="1" applyBorder="1" applyProtection="1"/>
    <xf numFmtId="165" fontId="4" fillId="0" borderId="1" xfId="0" applyNumberFormat="1" applyFont="1" applyBorder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166" fontId="4" fillId="0" borderId="0" xfId="0" applyNumberFormat="1" applyFont="1" applyProtection="1"/>
    <xf numFmtId="168" fontId="4" fillId="0" borderId="0" xfId="0" applyNumberFormat="1" applyFont="1" applyProtection="1"/>
    <xf numFmtId="10" fontId="4" fillId="0" borderId="2" xfId="0" applyNumberFormat="1" applyFont="1" applyBorder="1" applyProtection="1"/>
    <xf numFmtId="0" fontId="4" fillId="0" borderId="2" xfId="0" applyFont="1" applyBorder="1" applyProtection="1"/>
    <xf numFmtId="165" fontId="4" fillId="0" borderId="2" xfId="0" applyNumberFormat="1" applyFont="1" applyBorder="1" applyAlignment="1" applyProtection="1">
      <alignment horizontal="right"/>
    </xf>
    <xf numFmtId="0" fontId="4" fillId="0" borderId="0" xfId="0" applyFont="1" applyFill="1" applyProtection="1"/>
    <xf numFmtId="165" fontId="4" fillId="0" borderId="1" xfId="0" applyNumberFormat="1" applyFont="1" applyBorder="1" applyProtection="1"/>
    <xf numFmtId="10" fontId="4" fillId="0" borderId="3" xfId="0" applyNumberFormat="1" applyFont="1" applyBorder="1" applyAlignment="1" applyProtection="1">
      <alignment horizontal="left"/>
    </xf>
    <xf numFmtId="0" fontId="0" fillId="0" borderId="2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165" fontId="5" fillId="0" borderId="0" xfId="0" applyNumberFormat="1" applyFont="1" applyAlignment="1" applyProtection="1">
      <alignment horizontal="center"/>
    </xf>
    <xf numFmtId="0" fontId="4" fillId="2" borderId="1" xfId="0" applyFont="1" applyFill="1" applyBorder="1" applyProtection="1">
      <protection locked="0"/>
    </xf>
    <xf numFmtId="165" fontId="4" fillId="0" borderId="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10" fontId="4" fillId="2" borderId="0" xfId="0" applyNumberFormat="1" applyFont="1" applyFill="1" applyProtection="1"/>
    <xf numFmtId="169" fontId="4" fillId="2" borderId="0" xfId="0" applyNumberFormat="1" applyFont="1" applyFill="1" applyProtection="1"/>
    <xf numFmtId="10" fontId="4" fillId="0" borderId="1" xfId="0" applyNumberFormat="1" applyFont="1" applyBorder="1" applyAlignment="1" applyProtection="1">
      <alignment horizontal="left"/>
    </xf>
    <xf numFmtId="10" fontId="4" fillId="0" borderId="3" xfId="0" applyNumberFormat="1" applyFont="1" applyBorder="1" applyAlignment="1" applyProtection="1">
      <alignment horizontal="left"/>
    </xf>
    <xf numFmtId="0" fontId="0" fillId="0" borderId="2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5" fillId="0" borderId="1" xfId="0" applyFont="1" applyBorder="1" applyAlignment="1" applyProtection="1">
      <alignment horizontal="center"/>
    </xf>
    <xf numFmtId="10" fontId="4" fillId="0" borderId="3" xfId="0" applyNumberFormat="1" applyFont="1" applyBorder="1" applyAlignment="1" applyProtection="1"/>
    <xf numFmtId="0" fontId="0" fillId="0" borderId="2" xfId="0" applyBorder="1" applyAlignment="1"/>
    <xf numFmtId="0" fontId="0" fillId="0" borderId="4" xfId="0" applyBorder="1" applyAlignment="1"/>
    <xf numFmtId="10" fontId="4" fillId="0" borderId="2" xfId="0" applyNumberFormat="1" applyFont="1" applyBorder="1" applyAlignment="1" applyProtection="1">
      <alignment horizontal="left"/>
    </xf>
    <xf numFmtId="10" fontId="4" fillId="0" borderId="4" xfId="0" applyNumberFormat="1" applyFont="1" applyBorder="1" applyAlignment="1" applyProtection="1">
      <alignment horizontal="left"/>
    </xf>
    <xf numFmtId="0" fontId="4" fillId="0" borderId="1" xfId="0" applyFont="1" applyBorder="1" applyAlignment="1" applyProtection="1"/>
    <xf numFmtId="0" fontId="0" fillId="0" borderId="1" xfId="0" applyBorder="1" applyAlignment="1" applyProtection="1"/>
    <xf numFmtId="0" fontId="0" fillId="0" borderId="1" xfId="0" applyBorder="1" applyAlignment="1" applyProtection="1">
      <alignment horizontal="left"/>
    </xf>
    <xf numFmtId="0" fontId="4" fillId="0" borderId="3" xfId="0" applyFont="1" applyBorder="1" applyAlignment="1" applyProtection="1"/>
    <xf numFmtId="0" fontId="0" fillId="0" borderId="2" xfId="0" applyBorder="1" applyAlignment="1" applyProtection="1"/>
    <xf numFmtId="0" fontId="0" fillId="0" borderId="4" xfId="0" applyBorder="1" applyAlignment="1" applyProtection="1"/>
    <xf numFmtId="0" fontId="4" fillId="0" borderId="1" xfId="0" applyFont="1" applyFill="1" applyBorder="1" applyAlignment="1" applyProtection="1"/>
    <xf numFmtId="10" fontId="4" fillId="0" borderId="1" xfId="0" quotePrefix="1" applyNumberFormat="1" applyFont="1" applyBorder="1" applyAlignment="1" applyProtection="1">
      <alignment horizontal="left"/>
    </xf>
    <xf numFmtId="10" fontId="4" fillId="0" borderId="3" xfId="0" quotePrefix="1" applyNumberFormat="1" applyFont="1" applyBorder="1" applyAlignment="1" applyProtection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7"/>
  <sheetViews>
    <sheetView tabSelected="1" zoomScaleNormal="100" workbookViewId="0">
      <selection activeCell="B1" sqref="B1"/>
    </sheetView>
  </sheetViews>
  <sheetFormatPr defaultColWidth="32.8984375" defaultRowHeight="15" x14ac:dyDescent="0.45"/>
  <cols>
    <col min="1" max="1" width="32.8984375" style="3" customWidth="1"/>
    <col min="2" max="3" width="32.8984375" style="2" customWidth="1"/>
    <col min="4" max="7" width="14.6484375" style="3" customWidth="1"/>
    <col min="8" max="8" width="14.546875" style="3" customWidth="1"/>
    <col min="9" max="9" width="14.6484375" style="3" customWidth="1"/>
    <col min="10" max="10" width="10.44921875" style="3" customWidth="1"/>
    <col min="11" max="16384" width="32.8984375" style="3"/>
  </cols>
  <sheetData>
    <row r="1" spans="1:15" ht="15.35" x14ac:dyDescent="0.5">
      <c r="A1" s="1" t="s">
        <v>0</v>
      </c>
      <c r="B1" s="22" t="s">
        <v>109</v>
      </c>
      <c r="C1" s="22"/>
    </row>
    <row r="2" spans="1:15" x14ac:dyDescent="0.45">
      <c r="A2" s="2" t="s">
        <v>1</v>
      </c>
      <c r="B2" s="2">
        <v>203.26</v>
      </c>
      <c r="D2" s="4"/>
    </row>
    <row r="3" spans="1:15" x14ac:dyDescent="0.45">
      <c r="A3" s="2" t="s">
        <v>2</v>
      </c>
      <c r="B3" s="2">
        <v>217.47</v>
      </c>
      <c r="D3" s="4"/>
    </row>
    <row r="4" spans="1:15" x14ac:dyDescent="0.45">
      <c r="A4" s="2" t="s">
        <v>29</v>
      </c>
      <c r="B4" s="2">
        <v>845.63</v>
      </c>
      <c r="D4" s="4"/>
    </row>
    <row r="5" spans="1:15" x14ac:dyDescent="0.45">
      <c r="A5" s="2" t="s">
        <v>30</v>
      </c>
      <c r="B5" s="2">
        <v>905.64</v>
      </c>
      <c r="D5" s="4"/>
    </row>
    <row r="6" spans="1:15" x14ac:dyDescent="0.45">
      <c r="A6" s="2" t="s">
        <v>87</v>
      </c>
      <c r="B6" s="2">
        <v>433.34</v>
      </c>
      <c r="D6" s="4"/>
    </row>
    <row r="7" spans="1:15" x14ac:dyDescent="0.45">
      <c r="A7" s="2"/>
      <c r="D7" s="4"/>
      <c r="I7" s="17"/>
    </row>
    <row r="8" spans="1:15" ht="15.35" x14ac:dyDescent="0.5">
      <c r="D8" s="29" t="s">
        <v>65</v>
      </c>
      <c r="E8" s="29"/>
      <c r="F8" s="23">
        <v>6.1</v>
      </c>
      <c r="G8" s="9" t="s">
        <v>39</v>
      </c>
      <c r="H8" s="13">
        <f>IF(loaw&lt;=6.1,6.1,ROUNDUP(loaw,1))</f>
        <v>6.1</v>
      </c>
      <c r="K8" s="33" t="s">
        <v>108</v>
      </c>
      <c r="L8" s="33"/>
      <c r="M8" s="33"/>
      <c r="N8" s="33"/>
      <c r="O8" s="33"/>
    </row>
    <row r="9" spans="1:15" ht="15.35" x14ac:dyDescent="0.5">
      <c r="A9" s="1" t="s">
        <v>3</v>
      </c>
      <c r="D9" s="4"/>
      <c r="K9" s="25" t="s">
        <v>103</v>
      </c>
      <c r="L9" s="25" t="s">
        <v>104</v>
      </c>
      <c r="M9" s="25" t="s">
        <v>105</v>
      </c>
      <c r="N9" s="25" t="s">
        <v>106</v>
      </c>
      <c r="O9" s="25" t="s">
        <v>107</v>
      </c>
    </row>
    <row r="10" spans="1:15" x14ac:dyDescent="0.45">
      <c r="A10" s="2" t="s">
        <v>4</v>
      </c>
      <c r="B10" s="2">
        <v>74.13</v>
      </c>
      <c r="D10" s="29" t="s">
        <v>72</v>
      </c>
      <c r="E10" s="29"/>
      <c r="F10" s="29"/>
      <c r="G10" s="29"/>
      <c r="H10" s="29"/>
      <c r="I10" s="10" t="str">
        <f>IF(loa&gt;6.1,IF(loa&gt;=lbloa,ROUND(((((1+lbprem)*ann*loa)+hd)*(1+vat))+tawe12,2),ROUND((((ann*loa)+hd)*(1+vat))+tawe12,2)),"N/A")</f>
        <v>N/A</v>
      </c>
      <c r="K10" s="24" t="str">
        <f>IF(loa&gt;6.1,IF(loa&gt;=lbloa,(1+lbprem)*ann*loa,ann*loa),"N/A")</f>
        <v>N/A</v>
      </c>
      <c r="L10" s="24" t="str">
        <f>IF(loa&gt;6.1,IF(loa&gt;=lbloa,hd,hd),"N/A")</f>
        <v>N/A</v>
      </c>
      <c r="M10" s="24" t="str">
        <f>IF(loa&gt;6.1,IF(loa&gt;=lbloa,ROUND(((((1+lbprem)*ann*loa)+hd)*vat),2),ROUND((((ann*loa)+hd)*vat),2)),"N/A")</f>
        <v>N/A</v>
      </c>
      <c r="N10" s="24" t="str">
        <f>IF(loa&gt;6.1,IF(loa&gt;=lbloa,tawe12,tawe12),"N/A")</f>
        <v>N/A</v>
      </c>
      <c r="O10" s="24" t="str">
        <f>IF(loa&gt;6.1,SUM(K10:N10),"N/A")</f>
        <v>N/A</v>
      </c>
    </row>
    <row r="11" spans="1:15" x14ac:dyDescent="0.45">
      <c r="A11" s="2" t="s">
        <v>31</v>
      </c>
      <c r="B11" s="2">
        <f>ROUND(4*(_sum3/3),2)</f>
        <v>98.84</v>
      </c>
      <c r="D11" s="29" t="s">
        <v>71</v>
      </c>
      <c r="E11" s="29"/>
      <c r="F11" s="29"/>
      <c r="G11" s="29"/>
      <c r="H11" s="29"/>
      <c r="I11" s="10" t="str">
        <f>IF(loa&gt;6.1,IF(loa&gt;=lbloa,ROUND(((((1+lbprem)*anni*loa)+hd)*(1+vat))+tawe12,2),ROUND((((anni*loa)+hd)*(1+vat))+tawe12,2)),"N/A")</f>
        <v>N/A</v>
      </c>
      <c r="K11" s="24" t="str">
        <f>IF(loa&gt;6.1,IF(loa&gt;=lbloa,(1+lbprem)*anni*loa,anni*loa),"N/A")</f>
        <v>N/A</v>
      </c>
      <c r="L11" s="24" t="str">
        <f>IF(loa&gt;6.1,IF(loa&gt;=lbloa,hd,hd),"N/A")</f>
        <v>N/A</v>
      </c>
      <c r="M11" s="24" t="str">
        <f>IF(loa&gt;6.1,IF(loa&gt;=lbloa,ROUND(((((1+lbprem)*anni*loa)+hd)*vat),2),ROUND((((anni*loa)+hd)*vat),2)),"N/A")</f>
        <v>N/A</v>
      </c>
      <c r="N11" s="24" t="str">
        <f>IF(loa&gt;6.1,IF(loa&gt;=lbloa,tawe12,tawe12),"N/A")</f>
        <v>N/A</v>
      </c>
      <c r="O11" s="24" t="str">
        <f>IF(loa&gt;6.1,SUM(K11:N11),"N/A")</f>
        <v>N/A</v>
      </c>
    </row>
    <row r="12" spans="1:15" x14ac:dyDescent="0.45">
      <c r="A12" s="2" t="s">
        <v>32</v>
      </c>
      <c r="B12" s="2">
        <f>ROUND(5*(_sum3/3),2)</f>
        <v>123.55</v>
      </c>
      <c r="D12" s="46" t="s">
        <v>93</v>
      </c>
      <c r="E12" s="29"/>
      <c r="F12" s="29"/>
      <c r="G12" s="29"/>
      <c r="H12" s="29"/>
      <c r="I12" s="10" t="str">
        <f>IF(loa&gt;6.1,IF(loa&gt;=lbloa,ROUND(((((1-discount+lbprem)*ann*loa)+hd)*(1+vat))+tawe12,2),ROUND(((((1-discount)*ann*loa)+hd)*(1+vat))+tawe12,2)),"N/A")</f>
        <v>N/A</v>
      </c>
      <c r="K12" s="24" t="str">
        <f>IF(loa&gt;6.1,IF(loa&gt;=lbloa,(1-discount+lbprem)*ann*loa,(1-discount)*ann*loa),"N/A")</f>
        <v>N/A</v>
      </c>
      <c r="L12" s="24" t="str">
        <f>IF(loa&gt;6.1,IF(loa&gt;=lbloa,hd,hd),"N/A")</f>
        <v>N/A</v>
      </c>
      <c r="M12" s="24" t="str">
        <f>IF(loa&gt;6.1,IF(loa&gt;=lbloa,ROUND(((((1-discount+lbprem)*ann*loa)+hd)*vat),2),ROUND(((((1-discount)*ann*loa)+hd)*vat),2)),"N/A")</f>
        <v>N/A</v>
      </c>
      <c r="N12" s="24" t="str">
        <f>IF(loa&gt;6.1,IF(loa&gt;=lbloa,tawe12,tawe12),"N/A")</f>
        <v>N/A</v>
      </c>
      <c r="O12" s="24" t="str">
        <f>IF(loa&gt;6.1,SUM(K12:N12),"N/A")</f>
        <v>N/A</v>
      </c>
    </row>
    <row r="13" spans="1:15" x14ac:dyDescent="0.45">
      <c r="A13" s="2" t="s">
        <v>33</v>
      </c>
      <c r="B13" s="2">
        <f>ROUND(6*(_sum3/3),2)</f>
        <v>148.26</v>
      </c>
      <c r="D13" s="46" t="s">
        <v>94</v>
      </c>
      <c r="E13" s="29"/>
      <c r="F13" s="29"/>
      <c r="G13" s="29"/>
      <c r="H13" s="29"/>
      <c r="I13" s="10" t="str">
        <f>IF(loa&gt;6.1,IF(loa&gt;=lbloa,ROUND(((((1-discount+lbprem)*anni*loa)+hd)*(1+vat))+tawe12,2),ROUND(((((1-discount)*anni*loa)+hd)*(1+vat))+tawe12,2)),"N/A")</f>
        <v>N/A</v>
      </c>
      <c r="K13" s="24" t="str">
        <f>IF(loa&gt;6.1,IF(loa&gt;=lbloa,(1-discount+lbprem)*anni*loa,(1-discount)*anni*loa),"N/A")</f>
        <v>N/A</v>
      </c>
      <c r="L13" s="24" t="str">
        <f>IF(loa&gt;6.1,IF(loa&gt;=lbloa,hd,hd),"N/A")</f>
        <v>N/A</v>
      </c>
      <c r="M13" s="24" t="str">
        <f>IF(loa&gt;6.1,IF(loa&gt;=lbloa,ROUND(((((1-discount+lbprem)*anni*loa)+hd)*vat),2),ROUND(((((1-discount)*anni*loa)+hd)*vat),2)),"N/A")</f>
        <v>N/A</v>
      </c>
      <c r="N13" s="24" t="str">
        <f>IF(loa&gt;6.1,IF(loa&gt;=lbloa,tawe12,tawe12),"N/A")</f>
        <v>N/A</v>
      </c>
      <c r="O13" s="24" t="str">
        <f>IF(loa&gt;6.1,SUM(K13:N13),"N/A")</f>
        <v>N/A</v>
      </c>
    </row>
    <row r="14" spans="1:15" x14ac:dyDescent="0.45">
      <c r="A14" s="2" t="s">
        <v>88</v>
      </c>
      <c r="B14" s="2">
        <f>ROUND((1+prem90)*_sum3,2)</f>
        <v>92.66</v>
      </c>
      <c r="K14" s="26"/>
      <c r="L14" s="26"/>
      <c r="M14" s="26"/>
      <c r="N14" s="26"/>
      <c r="O14" s="26"/>
    </row>
    <row r="15" spans="1:15" x14ac:dyDescent="0.45">
      <c r="A15" s="2" t="s">
        <v>84</v>
      </c>
      <c r="B15" s="2">
        <v>308.42</v>
      </c>
      <c r="D15" s="29" t="s">
        <v>73</v>
      </c>
      <c r="E15" s="29"/>
      <c r="F15" s="29"/>
      <c r="G15" s="29"/>
      <c r="H15" s="29"/>
      <c r="I15" s="10">
        <f>IF(loa=6.1,ROUND(((sb+hd)*(1+vat))+tawe12,I142),"N/A")</f>
        <v>1278</v>
      </c>
      <c r="K15" s="24">
        <f>IF(loa=6.1,sb,"N/A")</f>
        <v>845.63</v>
      </c>
      <c r="L15" s="24">
        <f>IF(loa=6.1,hd,"N/A")</f>
        <v>44.71</v>
      </c>
      <c r="M15" s="24">
        <f>IF(loa=6.1,ROUND(((sb+hd)*vat),2),"N/A")</f>
        <v>178.07</v>
      </c>
      <c r="N15" s="24">
        <f>IF(loa=6.1,tawe12,"N/A")</f>
        <v>210</v>
      </c>
      <c r="O15" s="24">
        <f>IF(loa=6.1,SUM(K15:N15),"N/A")</f>
        <v>1278.4100000000001</v>
      </c>
    </row>
    <row r="16" spans="1:15" x14ac:dyDescent="0.45">
      <c r="A16" s="2" t="s">
        <v>83</v>
      </c>
      <c r="B16" s="2">
        <f>ROUND(4*(sbsum3/3),2)</f>
        <v>411.23</v>
      </c>
      <c r="D16" s="30" t="s">
        <v>70</v>
      </c>
      <c r="E16" s="37"/>
      <c r="F16" s="37"/>
      <c r="G16" s="37"/>
      <c r="H16" s="38"/>
      <c r="I16" s="10">
        <f>IF(loa=6.1,ROUND(((sbi+hd)*(1+vat))+tawe12,2),"N/A")</f>
        <v>1350.42</v>
      </c>
      <c r="K16" s="24">
        <f>IF(loa=6.1,sbi,"N/A")</f>
        <v>905.64</v>
      </c>
      <c r="L16" s="24">
        <f>IF(loa=6.1,hd,"N/A")</f>
        <v>44.71</v>
      </c>
      <c r="M16" s="24">
        <f>IF(loa=6.1,ROUND(((sbi+hd)*vat),2),"N/A")</f>
        <v>190.07</v>
      </c>
      <c r="N16" s="24">
        <f>IF(loa=6.1,tawe12,"N/A")</f>
        <v>210</v>
      </c>
      <c r="O16" s="24">
        <f>IF(loa=6.1,SUM(K16:N16),"N/A")</f>
        <v>1350.42</v>
      </c>
    </row>
    <row r="17" spans="1:15" x14ac:dyDescent="0.45">
      <c r="A17" s="2" t="s">
        <v>85</v>
      </c>
      <c r="B17" s="2">
        <f>ROUND(5*(sbsum3/3),2)</f>
        <v>514.03</v>
      </c>
      <c r="D17" s="47" t="s">
        <v>97</v>
      </c>
      <c r="E17" s="31"/>
      <c r="F17" s="31"/>
      <c r="G17" s="31"/>
      <c r="H17" s="32"/>
      <c r="I17" s="10">
        <f>IF(loa=6.1,ROUND(((sb*(1-discount)+hd)*(1+vat))+tawe12,2),"N/A")</f>
        <v>1075.46</v>
      </c>
      <c r="K17" s="24">
        <f>IF(loa=6.1,sb*(1-discount),"N/A")</f>
        <v>676.50400000000002</v>
      </c>
      <c r="L17" s="24">
        <f>IF(loa=6.1,hd,"N/A")</f>
        <v>44.71</v>
      </c>
      <c r="M17" s="24">
        <f>IF(loa=6.1,ROUND(((sb*(1-discount)+hd)*vat),2),"N/A")</f>
        <v>144.24</v>
      </c>
      <c r="N17" s="24">
        <f>IF(loa=6.1,tawe12,"N/A")</f>
        <v>210</v>
      </c>
      <c r="O17" s="24">
        <f>IF(loa=6.1,SUM(K17:N17),"N/A")</f>
        <v>1075.4540000000002</v>
      </c>
    </row>
    <row r="18" spans="1:15" x14ac:dyDescent="0.45">
      <c r="A18" s="2" t="s">
        <v>86</v>
      </c>
      <c r="B18" s="2">
        <f>ROUND(6*(sbsum3/3),2)</f>
        <v>616.84</v>
      </c>
      <c r="D18" s="47" t="s">
        <v>98</v>
      </c>
      <c r="E18" s="31"/>
      <c r="F18" s="31"/>
      <c r="G18" s="31"/>
      <c r="H18" s="32"/>
      <c r="I18" s="10">
        <f>IF(loa=6.1,ROUND(((sbi*(1-discount)+hd)*(1+vat))+tawe12,2),"N/A")</f>
        <v>1133.07</v>
      </c>
      <c r="K18" s="24">
        <f>IF(loa=6.1,sbi*(1-discount),"N/A")</f>
        <v>724.51200000000006</v>
      </c>
      <c r="L18" s="24">
        <f>IF(loa=6.1,hd,"N/A")</f>
        <v>44.71</v>
      </c>
      <c r="M18" s="24">
        <f>IF(loa=6.1,ROUND(((sbi*(1-discount)+hd)*vat),2),"N/A")</f>
        <v>153.84</v>
      </c>
      <c r="N18" s="24">
        <f>IF(loa=6.1,tawe12,"N/A")</f>
        <v>210</v>
      </c>
      <c r="O18" s="24">
        <f>IF(loa=6.1,SUM(K18:N18),"N/A")</f>
        <v>1133.0620000000001</v>
      </c>
    </row>
    <row r="19" spans="1:15" x14ac:dyDescent="0.45">
      <c r="A19" s="2" t="s">
        <v>89</v>
      </c>
      <c r="B19" s="2">
        <f>ROUND((1+prem90)*sbsum3,2)</f>
        <v>385.53</v>
      </c>
    </row>
    <row r="20" spans="1:15" x14ac:dyDescent="0.45">
      <c r="D20" s="39" t="s">
        <v>92</v>
      </c>
      <c r="E20" s="39"/>
      <c r="F20" s="39"/>
      <c r="G20" s="39"/>
      <c r="H20" s="39"/>
      <c r="I20" s="18">
        <f>ROUND(abata*(1+vat),2)</f>
        <v>520.01</v>
      </c>
    </row>
    <row r="21" spans="1:15" ht="13.5" customHeight="1" x14ac:dyDescent="0.45"/>
    <row r="22" spans="1:15" ht="13.5" customHeight="1" x14ac:dyDescent="0.5">
      <c r="A22" s="1" t="s">
        <v>5</v>
      </c>
      <c r="D22" s="30" t="s">
        <v>40</v>
      </c>
      <c r="E22" s="31"/>
      <c r="F22" s="31"/>
      <c r="G22" s="31"/>
      <c r="H22" s="32"/>
      <c r="I22" s="10" t="str">
        <f>IF(loa&gt;6.1,IF(loa&gt;=lbloa,ROUND(((((1+lbprem)*_sum3*loa)+hd)*(1+vat))+tawe3,2),ROUND((((_sum3*loa)+hd)*(1+vat))+tawe3,2)),"N/A")</f>
        <v>N/A</v>
      </c>
    </row>
    <row r="23" spans="1:15" ht="13.5" customHeight="1" x14ac:dyDescent="0.45">
      <c r="A23" s="2" t="s">
        <v>4</v>
      </c>
      <c r="B23" s="2">
        <v>59.84</v>
      </c>
      <c r="D23" s="30" t="s">
        <v>41</v>
      </c>
      <c r="E23" s="31"/>
      <c r="F23" s="31"/>
      <c r="G23" s="31"/>
      <c r="H23" s="32"/>
      <c r="I23" s="10" t="str">
        <f>IF(loa&gt;6.1,IF(loa&gt;=lbloa,ROUND(((((1+lbprem)*_sum4*loa)+hd)*(1+vat))+tawe4,2),ROUND((((_sum4*loa)+hd)*(1+vat))+tawe4,2)),"N/A")</f>
        <v>N/A</v>
      </c>
    </row>
    <row r="24" spans="1:15" ht="13.5" customHeight="1" x14ac:dyDescent="0.45">
      <c r="A24" s="2" t="s">
        <v>31</v>
      </c>
      <c r="B24" s="2">
        <f>ROUND(4*(_win3/3),2)</f>
        <v>79.790000000000006</v>
      </c>
      <c r="D24" s="30" t="s">
        <v>42</v>
      </c>
      <c r="E24" s="31"/>
      <c r="F24" s="31"/>
      <c r="G24" s="31"/>
      <c r="H24" s="32"/>
      <c r="I24" s="10" t="str">
        <f>IF(loa&gt;6.1,IF(loa&gt;=lbloa,ROUND(((((1+lbprem)*_sum5*loa)+hd)*(1+vat))+tawe5,2),ROUND((((_sum5*loa)+hd)*(1+vat))+tawe5,2)),"N/A")</f>
        <v>N/A</v>
      </c>
    </row>
    <row r="25" spans="1:15" x14ac:dyDescent="0.45">
      <c r="A25" s="2" t="s">
        <v>32</v>
      </c>
      <c r="B25" s="2">
        <f>ROUND(5*(_win3/3),2)</f>
        <v>99.73</v>
      </c>
      <c r="D25" s="30" t="s">
        <v>43</v>
      </c>
      <c r="E25" s="31"/>
      <c r="F25" s="31"/>
      <c r="G25" s="31"/>
      <c r="H25" s="32"/>
      <c r="I25" s="10" t="str">
        <f>IF(loa&gt;6.1,IF(loa&gt;=lbloa,ROUND(((((1+lbprem)*_sum6*loa)+hd)*(1+vat))+tawe6,2),ROUND((((_sum6*loa)+hd)*(1+vat))+tawe6,2)),"N/A")</f>
        <v>N/A</v>
      </c>
    </row>
    <row r="26" spans="1:15" x14ac:dyDescent="0.45">
      <c r="A26" s="2" t="s">
        <v>33</v>
      </c>
      <c r="B26" s="2">
        <f>ROUND(6*(_win3/3),2)</f>
        <v>119.68</v>
      </c>
      <c r="D26" s="34" t="s">
        <v>90</v>
      </c>
      <c r="E26" s="43"/>
      <c r="F26" s="43"/>
      <c r="G26" s="43"/>
      <c r="H26" s="44"/>
      <c r="I26" s="10" t="str">
        <f>IF(loa&gt;6.1,IF(loa&gt;=lbloa,ROUND(((((1+lbprem)*_90day*loa)+hd)*(1+vat))+tawe3,2),ROUND((((_90day*loa)+hd)*(1+vat))+tawe3,2)),"N/A")</f>
        <v>N/A</v>
      </c>
    </row>
    <row r="27" spans="1:15" x14ac:dyDescent="0.45">
      <c r="A27" s="2" t="s">
        <v>84</v>
      </c>
      <c r="B27" s="2">
        <v>248.97</v>
      </c>
    </row>
    <row r="28" spans="1:15" x14ac:dyDescent="0.45">
      <c r="A28" s="2" t="s">
        <v>83</v>
      </c>
      <c r="B28" s="2">
        <f>ROUND(4*(sbwin3/3),2)</f>
        <v>331.96</v>
      </c>
      <c r="D28" s="30" t="s">
        <v>44</v>
      </c>
      <c r="E28" s="31"/>
      <c r="F28" s="31"/>
      <c r="G28" s="31"/>
      <c r="H28" s="32"/>
      <c r="I28" s="10" t="str">
        <f>IF(loa&gt;6.1,IF(loa&gt;=lbloa,ROUND(((((1+lbprem)*_win3*loa)+hd)*(1+vat))+tawe3,2),ROUND((((_win3*loa)+hd)*(1+vat))+tawe3,2)),"N/A")</f>
        <v>N/A</v>
      </c>
    </row>
    <row r="29" spans="1:15" x14ac:dyDescent="0.45">
      <c r="A29" s="2" t="s">
        <v>85</v>
      </c>
      <c r="B29" s="2">
        <f>ROUND(5*(sbwin3/3),2)</f>
        <v>414.95</v>
      </c>
      <c r="D29" s="30" t="s">
        <v>45</v>
      </c>
      <c r="E29" s="31"/>
      <c r="F29" s="31"/>
      <c r="G29" s="31"/>
      <c r="H29" s="32"/>
      <c r="I29" s="10" t="str">
        <f>IF(loa&gt;6.1,IF(loa&gt;=lbloa,ROUND(((((1+lbprem)*_win4*loa)+hd)*(1+vat))+tawe4,2),ROUND((((_win4*loa)+hd)*(1+vat))+tawe4,2)),"N/A")</f>
        <v>N/A</v>
      </c>
    </row>
    <row r="30" spans="1:15" x14ac:dyDescent="0.45">
      <c r="A30" s="2" t="s">
        <v>86</v>
      </c>
      <c r="B30" s="2">
        <f>ROUND(6*(sbwin3/3),2)</f>
        <v>497.94</v>
      </c>
      <c r="D30" s="30" t="s">
        <v>46</v>
      </c>
      <c r="E30" s="31"/>
      <c r="F30" s="31"/>
      <c r="G30" s="31"/>
      <c r="H30" s="32"/>
      <c r="I30" s="10" t="str">
        <f>IF(loa&gt;6.1,IF(loa&gt;=lbloa,ROUND(((((1+lbprem)*_win5*loa)+hd)*(1+vat))+tawe5,2),ROUND((((_win5*loa)+hd)*(1+vat))+tawe5,2)),"N/A")</f>
        <v>N/A</v>
      </c>
    </row>
    <row r="31" spans="1:15" x14ac:dyDescent="0.45">
      <c r="D31" s="30" t="s">
        <v>47</v>
      </c>
      <c r="E31" s="31"/>
      <c r="F31" s="31"/>
      <c r="G31" s="31"/>
      <c r="H31" s="32"/>
      <c r="I31" s="10" t="str">
        <f>IF(loa&gt;6.1,IF(loa&gt;=lbloa,ROUND(((((1+lbprem)*_win6*loa)+hd)*(1+vat))+tawe6,2),ROUND((((_win6*loa)+hd)*(1+vat))+tawe6,2)),"N/A")</f>
        <v>N/A</v>
      </c>
    </row>
    <row r="32" spans="1:15" x14ac:dyDescent="0.45">
      <c r="D32" s="4"/>
      <c r="I32" s="11"/>
    </row>
    <row r="33" spans="1:9" ht="15.35" x14ac:dyDescent="0.5">
      <c r="A33" s="1" t="s">
        <v>6</v>
      </c>
      <c r="D33" s="39" t="s">
        <v>75</v>
      </c>
      <c r="E33" s="40"/>
      <c r="F33" s="40"/>
      <c r="G33" s="40"/>
      <c r="H33" s="40"/>
      <c r="I33" s="10">
        <f>IF(loa=6.1,ROUND((sbsum3+hd)*(1+vat),2)+tawe3,"N/A")</f>
        <v>476.26</v>
      </c>
    </row>
    <row r="34" spans="1:9" x14ac:dyDescent="0.45">
      <c r="A34" s="2" t="s">
        <v>7</v>
      </c>
      <c r="B34" s="2">
        <v>2.21</v>
      </c>
      <c r="D34" s="39" t="s">
        <v>77</v>
      </c>
      <c r="E34" s="40"/>
      <c r="F34" s="40"/>
      <c r="G34" s="40"/>
      <c r="H34" s="40"/>
      <c r="I34" s="10">
        <f>IF(loa=6.1,ROUND((sbsum4+hd)*(1+vat),2)+tawe4,"N/A")</f>
        <v>617.13</v>
      </c>
    </row>
    <row r="35" spans="1:9" x14ac:dyDescent="0.45">
      <c r="A35" s="2" t="s">
        <v>8</v>
      </c>
      <c r="B35" s="2">
        <v>13.26</v>
      </c>
      <c r="D35" s="39" t="s">
        <v>78</v>
      </c>
      <c r="E35" s="40"/>
      <c r="F35" s="40"/>
      <c r="G35" s="40"/>
      <c r="H35" s="40"/>
      <c r="I35" s="10">
        <f>IF(loa=6.1,ROUND((sbsum5+hd)*(1+vat),2)+tawe5,"N/A")</f>
        <v>757.99</v>
      </c>
    </row>
    <row r="36" spans="1:9" x14ac:dyDescent="0.45">
      <c r="A36" s="2" t="s">
        <v>110</v>
      </c>
      <c r="B36" s="2">
        <v>41.98</v>
      </c>
      <c r="D36" s="39" t="s">
        <v>79</v>
      </c>
      <c r="E36" s="40"/>
      <c r="F36" s="40"/>
      <c r="G36" s="40"/>
      <c r="H36" s="40"/>
      <c r="I36" s="10">
        <f>IF(loa=6.1,ROUND((sbsum6+hd)*(1+vat),2)+tawe6,"N/A")</f>
        <v>898.86</v>
      </c>
    </row>
    <row r="37" spans="1:9" x14ac:dyDescent="0.45">
      <c r="A37" s="2" t="s">
        <v>112</v>
      </c>
      <c r="B37" s="2">
        <v>41.98</v>
      </c>
      <c r="D37" s="45" t="s">
        <v>91</v>
      </c>
      <c r="E37" s="40"/>
      <c r="F37" s="40"/>
      <c r="G37" s="40"/>
      <c r="H37" s="40"/>
      <c r="I37" s="10">
        <f>IF(loa=6.1,ROUND((sb90day+hd)*(1+vat),2)+tawe3,"N/A")</f>
        <v>568.79</v>
      </c>
    </row>
    <row r="38" spans="1:9" x14ac:dyDescent="0.45">
      <c r="A38" s="2"/>
    </row>
    <row r="39" spans="1:9" x14ac:dyDescent="0.45">
      <c r="D39" s="42" t="s">
        <v>76</v>
      </c>
      <c r="E39" s="43"/>
      <c r="F39" s="43"/>
      <c r="G39" s="43"/>
      <c r="H39" s="44"/>
      <c r="I39" s="10">
        <f>IF(loa=6.1,ROUND((sbwin3+hd)*(1+vat),2)+tawe3,"N/A")</f>
        <v>404.92</v>
      </c>
    </row>
    <row r="40" spans="1:9" ht="15.35" x14ac:dyDescent="0.5">
      <c r="A40" s="1" t="s">
        <v>9</v>
      </c>
      <c r="D40" s="42" t="s">
        <v>80</v>
      </c>
      <c r="E40" s="43"/>
      <c r="F40" s="43"/>
      <c r="G40" s="43"/>
      <c r="H40" s="44"/>
      <c r="I40" s="10">
        <f>IF(loa=6.1,ROUND((sbwin4+hd)*(1+vat),2)+tawe4,"N/A")</f>
        <v>522</v>
      </c>
    </row>
    <row r="41" spans="1:9" x14ac:dyDescent="0.45">
      <c r="A41" s="2" t="s">
        <v>10</v>
      </c>
      <c r="B41" s="2">
        <v>210</v>
      </c>
      <c r="D41" s="42" t="s">
        <v>81</v>
      </c>
      <c r="E41" s="43"/>
      <c r="F41" s="43"/>
      <c r="G41" s="43"/>
      <c r="H41" s="44"/>
      <c r="I41" s="10">
        <f>IF(loa=6.1,ROUND((sbwin5+hd)*(1+vat),2)+tawe5,"N/A")</f>
        <v>639.09</v>
      </c>
    </row>
    <row r="42" spans="1:9" x14ac:dyDescent="0.45">
      <c r="A42" s="2" t="s">
        <v>27</v>
      </c>
      <c r="B42" s="2">
        <f>ROUND(6*(tawe12/12),2)</f>
        <v>105</v>
      </c>
      <c r="D42" s="42" t="s">
        <v>82</v>
      </c>
      <c r="E42" s="43"/>
      <c r="F42" s="43"/>
      <c r="G42" s="43"/>
      <c r="H42" s="44"/>
      <c r="I42" s="10">
        <f>IF(loa=6.1,ROUND((sbwin6+hd)*(1+vat),2)+tawe6,"N/A")</f>
        <v>756.18</v>
      </c>
    </row>
    <row r="43" spans="1:9" x14ac:dyDescent="0.45">
      <c r="A43" s="2" t="s">
        <v>26</v>
      </c>
      <c r="B43" s="2">
        <f>ROUND(5*(tawe12/12),2)</f>
        <v>87.5</v>
      </c>
    </row>
    <row r="44" spans="1:9" x14ac:dyDescent="0.45">
      <c r="A44" s="2" t="s">
        <v>25</v>
      </c>
      <c r="B44" s="2">
        <f>ROUND(4*(tawe12/12),2)</f>
        <v>70</v>
      </c>
      <c r="D44" s="29" t="s">
        <v>48</v>
      </c>
      <c r="E44" s="41"/>
      <c r="F44" s="41"/>
      <c r="G44" s="41"/>
      <c r="H44" s="41"/>
      <c r="I44" s="10">
        <f>ROUND((visd*loa)*(1+vat),2)</f>
        <v>16.18</v>
      </c>
    </row>
    <row r="45" spans="1:9" x14ac:dyDescent="0.45">
      <c r="A45" s="2" t="s">
        <v>24</v>
      </c>
      <c r="B45" s="2">
        <f>ROUND(3*(tawe12/12),2)</f>
        <v>52.5</v>
      </c>
      <c r="D45" s="29" t="s">
        <v>49</v>
      </c>
      <c r="E45" s="41"/>
      <c r="F45" s="41"/>
      <c r="G45" s="41"/>
      <c r="H45" s="41"/>
      <c r="I45" s="10">
        <f>ROUND((visw*loa)*(1+vat),2)</f>
        <v>97.06</v>
      </c>
    </row>
    <row r="46" spans="1:9" x14ac:dyDescent="0.45">
      <c r="A46" s="2" t="s">
        <v>64</v>
      </c>
      <c r="B46" s="2">
        <v>44.71</v>
      </c>
      <c r="C46" s="3"/>
      <c r="D46" s="29" t="s">
        <v>111</v>
      </c>
      <c r="E46" s="41"/>
      <c r="F46" s="41"/>
      <c r="G46" s="41"/>
      <c r="H46" s="41"/>
      <c r="I46" s="10">
        <f>ROUND((vism*loa)*(1+vat),2)</f>
        <v>307.29000000000002</v>
      </c>
    </row>
    <row r="47" spans="1:9" x14ac:dyDescent="0.45">
      <c r="B47" s="3"/>
      <c r="D47" s="34" t="s">
        <v>113</v>
      </c>
      <c r="E47" s="35"/>
      <c r="F47" s="35"/>
      <c r="G47" s="35"/>
      <c r="H47" s="36"/>
      <c r="I47" s="10">
        <f>ROUND((vis28bun*loa)*(1+vat),2)</f>
        <v>307.29000000000002</v>
      </c>
    </row>
    <row r="49" spans="1:12" ht="15.35" x14ac:dyDescent="0.5">
      <c r="A49" s="1" t="s">
        <v>11</v>
      </c>
    </row>
    <row r="50" spans="1:12" x14ac:dyDescent="0.45">
      <c r="A50" s="2" t="s">
        <v>8</v>
      </c>
      <c r="B50" s="2">
        <v>6.85</v>
      </c>
    </row>
    <row r="51" spans="1:12" x14ac:dyDescent="0.45">
      <c r="A51" s="2"/>
    </row>
    <row r="52" spans="1:12" x14ac:dyDescent="0.45">
      <c r="A52" s="2"/>
    </row>
    <row r="53" spans="1:12" ht="15.35" x14ac:dyDescent="0.5">
      <c r="A53" s="1" t="s">
        <v>12</v>
      </c>
    </row>
    <row r="54" spans="1:12" x14ac:dyDescent="0.45">
      <c r="A54" s="2" t="s">
        <v>13</v>
      </c>
      <c r="B54" s="2">
        <v>14.15</v>
      </c>
    </row>
    <row r="55" spans="1:12" x14ac:dyDescent="0.45">
      <c r="A55" s="2" t="s">
        <v>14</v>
      </c>
      <c r="B55" s="2">
        <v>16.96</v>
      </c>
    </row>
    <row r="56" spans="1:12" x14ac:dyDescent="0.45">
      <c r="A56" s="2" t="s">
        <v>15</v>
      </c>
      <c r="B56" s="2">
        <v>11.97</v>
      </c>
    </row>
    <row r="57" spans="1:12" x14ac:dyDescent="0.45">
      <c r="A57" s="2" t="s">
        <v>16</v>
      </c>
      <c r="B57" s="2">
        <v>14.74</v>
      </c>
    </row>
    <row r="58" spans="1:12" x14ac:dyDescent="0.45">
      <c r="A58" s="2" t="s">
        <v>17</v>
      </c>
      <c r="B58" s="2">
        <v>20.100000000000001</v>
      </c>
    </row>
    <row r="59" spans="1:12" x14ac:dyDescent="0.45">
      <c r="A59" s="2" t="s">
        <v>18</v>
      </c>
      <c r="B59" s="2">
        <v>23.18</v>
      </c>
    </row>
    <row r="60" spans="1:12" x14ac:dyDescent="0.45">
      <c r="A60" s="2" t="s">
        <v>66</v>
      </c>
      <c r="B60" s="2">
        <v>11.33</v>
      </c>
    </row>
    <row r="61" spans="1:12" x14ac:dyDescent="0.45">
      <c r="A61" s="2" t="s">
        <v>67</v>
      </c>
      <c r="B61" s="2">
        <v>16.489999999999998</v>
      </c>
    </row>
    <row r="62" spans="1:12" x14ac:dyDescent="0.45">
      <c r="A62" s="2" t="s">
        <v>19</v>
      </c>
      <c r="B62" s="2">
        <v>64.63</v>
      </c>
      <c r="L62" s="5"/>
    </row>
    <row r="63" spans="1:12" x14ac:dyDescent="0.45">
      <c r="A63" s="2" t="s">
        <v>20</v>
      </c>
      <c r="B63" s="2">
        <v>85.77</v>
      </c>
      <c r="L63" s="5"/>
    </row>
    <row r="64" spans="1:12" x14ac:dyDescent="0.45">
      <c r="A64" s="2" t="s">
        <v>21</v>
      </c>
      <c r="B64" s="2">
        <v>85.77</v>
      </c>
    </row>
    <row r="65" spans="1:12" x14ac:dyDescent="0.45">
      <c r="A65" s="2" t="s">
        <v>22</v>
      </c>
      <c r="B65" s="2">
        <v>73.83</v>
      </c>
      <c r="D65" s="4"/>
      <c r="J65" s="5"/>
      <c r="K65" s="5"/>
      <c r="L65" s="5"/>
    </row>
    <row r="66" spans="1:12" x14ac:dyDescent="0.45">
      <c r="A66" s="2" t="s">
        <v>23</v>
      </c>
      <c r="B66" s="2">
        <v>56.64</v>
      </c>
      <c r="C66" s="6"/>
    </row>
    <row r="67" spans="1:12" x14ac:dyDescent="0.45">
      <c r="A67" s="2" t="s">
        <v>28</v>
      </c>
      <c r="B67" s="2">
        <v>59.25</v>
      </c>
    </row>
    <row r="68" spans="1:12" x14ac:dyDescent="0.45">
      <c r="D68" s="29" t="s">
        <v>65</v>
      </c>
      <c r="E68" s="29"/>
      <c r="F68" s="9">
        <f>loa</f>
        <v>6.1</v>
      </c>
      <c r="G68" s="9" t="s">
        <v>39</v>
      </c>
    </row>
    <row r="69" spans="1:12" ht="15.35" x14ac:dyDescent="0.5">
      <c r="A69" s="7"/>
      <c r="C69" s="8"/>
    </row>
    <row r="70" spans="1:12" ht="15.35" x14ac:dyDescent="0.5">
      <c r="A70" s="7" t="s">
        <v>34</v>
      </c>
      <c r="B70" s="8"/>
      <c r="C70" s="12"/>
    </row>
    <row r="71" spans="1:12" x14ac:dyDescent="0.45">
      <c r="A71" s="3" t="s">
        <v>35</v>
      </c>
      <c r="B71" s="2">
        <v>0.15</v>
      </c>
      <c r="D71" s="19" t="s">
        <v>50</v>
      </c>
      <c r="E71" s="20"/>
      <c r="F71" s="20"/>
      <c r="G71" s="20"/>
      <c r="H71" s="21"/>
      <c r="I71" s="10">
        <f>ROUND((storw*loa)*(1+vat),2)</f>
        <v>50.14</v>
      </c>
    </row>
    <row r="72" spans="1:12" x14ac:dyDescent="0.45">
      <c r="D72" s="19" t="s">
        <v>59</v>
      </c>
      <c r="E72" s="20"/>
      <c r="F72" s="20"/>
      <c r="G72" s="20"/>
      <c r="H72" s="21"/>
      <c r="I72" s="10">
        <f>IF(loa&lt;=7.6,ROUND((lift7.6*loa)*(1+vat),2),"N/A")</f>
        <v>103.58</v>
      </c>
    </row>
    <row r="73" spans="1:12" x14ac:dyDescent="0.45">
      <c r="D73" s="19" t="s">
        <v>60</v>
      </c>
      <c r="E73" s="20"/>
      <c r="F73" s="20"/>
      <c r="G73" s="20"/>
      <c r="H73" s="21"/>
      <c r="I73" s="10" t="str">
        <f>IF(loa&gt;=7.7,ROUND((lift7.7*loa)*(1+vat),2),"N/A")</f>
        <v>N/A</v>
      </c>
    </row>
    <row r="74" spans="1:12" ht="15.35" x14ac:dyDescent="0.5">
      <c r="A74" s="7" t="s">
        <v>36</v>
      </c>
      <c r="C74" s="4"/>
      <c r="D74" s="19" t="s">
        <v>58</v>
      </c>
      <c r="E74" s="20"/>
      <c r="F74" s="20"/>
      <c r="G74" s="20"/>
      <c r="H74" s="21"/>
      <c r="I74" s="10">
        <f>IF(loa&lt;=7.6,ROUND((launch7.6*loa)*(1+vat),2),"N/A")</f>
        <v>87.62</v>
      </c>
    </row>
    <row r="75" spans="1:12" x14ac:dyDescent="0.45">
      <c r="A75" s="3" t="s">
        <v>37</v>
      </c>
      <c r="B75" s="27">
        <v>0.2</v>
      </c>
      <c r="C75" s="4"/>
      <c r="D75" s="19" t="s">
        <v>61</v>
      </c>
      <c r="E75" s="20"/>
      <c r="F75" s="20"/>
      <c r="G75" s="20"/>
      <c r="H75" s="21"/>
      <c r="I75" s="10" t="str">
        <f>IF(loa&gt;=7.7,ROUND((launch7.7*loa)*(1+vat),2),"N/A")</f>
        <v>N/A</v>
      </c>
    </row>
    <row r="76" spans="1:12" x14ac:dyDescent="0.45">
      <c r="A76" s="3" t="s">
        <v>38</v>
      </c>
      <c r="B76" s="27">
        <v>0.05</v>
      </c>
      <c r="C76" s="3"/>
      <c r="D76" s="19" t="s">
        <v>62</v>
      </c>
      <c r="E76" s="20"/>
      <c r="F76" s="20"/>
      <c r="G76" s="20"/>
      <c r="H76" s="21"/>
      <c r="I76" s="10">
        <f>IF(loa&lt;=7.6,ROUND((pk7.6*loa)*(1+vat),2),"N/A")</f>
        <v>147.13</v>
      </c>
    </row>
    <row r="77" spans="1:12" x14ac:dyDescent="0.45">
      <c r="B77" s="3"/>
      <c r="C77" s="3"/>
      <c r="D77" s="19" t="s">
        <v>63</v>
      </c>
      <c r="E77" s="20"/>
      <c r="F77" s="20"/>
      <c r="G77" s="20"/>
      <c r="H77" s="21"/>
      <c r="I77" s="10" t="str">
        <f>IF(loa&gt;=7.7,ROUND((pk7.7*loa)*(1+vat),2),"N/A")</f>
        <v>N/A</v>
      </c>
    </row>
    <row r="78" spans="1:12" ht="15.35" x14ac:dyDescent="0.5">
      <c r="A78" s="7" t="s">
        <v>99</v>
      </c>
      <c r="B78" s="3"/>
      <c r="C78" s="4"/>
      <c r="D78" s="19" t="s">
        <v>51</v>
      </c>
      <c r="E78" s="20"/>
      <c r="F78" s="20"/>
      <c r="G78" s="20"/>
      <c r="H78" s="21"/>
      <c r="I78" s="10">
        <f>ROUND((lhr*loa)*(1+vat),2)</f>
        <v>82.94</v>
      </c>
    </row>
    <row r="79" spans="1:12" x14ac:dyDescent="0.45">
      <c r="A79" s="3" t="s">
        <v>74</v>
      </c>
      <c r="B79" s="27">
        <v>0.2</v>
      </c>
      <c r="D79" s="19" t="s">
        <v>68</v>
      </c>
      <c r="E79" s="20"/>
      <c r="F79" s="20"/>
      <c r="G79" s="20"/>
      <c r="H79" s="21"/>
      <c r="I79" s="10">
        <f>ROUND((_lhr2*loa)*(1+vat),2)</f>
        <v>120.71</v>
      </c>
    </row>
    <row r="80" spans="1:12" x14ac:dyDescent="0.45">
      <c r="A80" s="3" t="s">
        <v>100</v>
      </c>
      <c r="B80" s="27">
        <v>0.25</v>
      </c>
      <c r="D80" s="19" t="s">
        <v>52</v>
      </c>
      <c r="E80" s="20"/>
      <c r="F80" s="20"/>
      <c r="G80" s="20"/>
      <c r="H80" s="21"/>
      <c r="I80" s="10">
        <f>ROUND(tow*(1+vat),2)</f>
        <v>77.56</v>
      </c>
    </row>
    <row r="81" spans="1:9" x14ac:dyDescent="0.45">
      <c r="A81" s="3" t="s">
        <v>102</v>
      </c>
      <c r="B81" s="28">
        <v>12.8</v>
      </c>
      <c r="D81" s="19" t="s">
        <v>53</v>
      </c>
      <c r="E81" s="20"/>
      <c r="F81" s="20"/>
      <c r="G81" s="20"/>
      <c r="H81" s="21"/>
      <c r="I81" s="10">
        <f>ROUND(demast*(1+vat),2)</f>
        <v>102.92</v>
      </c>
    </row>
    <row r="82" spans="1:9" x14ac:dyDescent="0.45">
      <c r="A82" s="3" t="s">
        <v>101</v>
      </c>
      <c r="B82" s="27">
        <v>0.02</v>
      </c>
      <c r="D82" s="19" t="s">
        <v>54</v>
      </c>
      <c r="E82" s="20"/>
      <c r="F82" s="20"/>
      <c r="G82" s="20"/>
      <c r="H82" s="21"/>
      <c r="I82" s="10">
        <f>ROUND(stepmast*(1+vat),2)</f>
        <v>102.92</v>
      </c>
    </row>
    <row r="83" spans="1:9" x14ac:dyDescent="0.45">
      <c r="D83" s="19" t="s">
        <v>55</v>
      </c>
      <c r="E83" s="20"/>
      <c r="F83" s="20"/>
      <c r="G83" s="20"/>
      <c r="H83" s="21"/>
      <c r="I83" s="10">
        <f>ROUND(engine*(1+vat),2)</f>
        <v>88.6</v>
      </c>
    </row>
    <row r="84" spans="1:9" x14ac:dyDescent="0.45">
      <c r="C84" s="4"/>
      <c r="D84" s="19" t="s">
        <v>56</v>
      </c>
      <c r="E84" s="20"/>
      <c r="F84" s="20"/>
      <c r="G84" s="20"/>
      <c r="H84" s="21"/>
      <c r="I84" s="10">
        <f>ROUND(boatmover*(1+vat),2)</f>
        <v>67.97</v>
      </c>
    </row>
    <row r="85" spans="1:9" ht="15.35" x14ac:dyDescent="0.5">
      <c r="A85" s="7" t="s">
        <v>95</v>
      </c>
      <c r="D85" s="19" t="s">
        <v>57</v>
      </c>
      <c r="E85" s="20"/>
      <c r="F85" s="20"/>
      <c r="G85" s="20"/>
      <c r="H85" s="21"/>
      <c r="I85" s="10">
        <f>ROUND(dinghylaunch*(1+vat),2)</f>
        <v>71.099999999999994</v>
      </c>
    </row>
    <row r="86" spans="1:9" x14ac:dyDescent="0.45">
      <c r="A86" s="3" t="s">
        <v>96</v>
      </c>
      <c r="B86" s="27">
        <v>0.02</v>
      </c>
      <c r="D86" s="14"/>
      <c r="E86" s="15"/>
      <c r="F86" s="15"/>
      <c r="G86" s="15"/>
      <c r="H86" s="15"/>
      <c r="I86" s="16"/>
    </row>
    <row r="87" spans="1:9" x14ac:dyDescent="0.45">
      <c r="D87" s="19" t="s">
        <v>69</v>
      </c>
      <c r="E87" s="20"/>
      <c r="F87" s="20"/>
      <c r="G87" s="20"/>
      <c r="H87" s="21"/>
      <c r="I87" s="10">
        <f>ROUND(elecmain*(1+vath),2)</f>
        <v>0.16</v>
      </c>
    </row>
  </sheetData>
  <mergeCells count="34">
    <mergeCell ref="D37:H37"/>
    <mergeCell ref="D12:H12"/>
    <mergeCell ref="D13:H13"/>
    <mergeCell ref="D45:H45"/>
    <mergeCell ref="D46:H46"/>
    <mergeCell ref="D17:H17"/>
    <mergeCell ref="D28:H28"/>
    <mergeCell ref="D30:H30"/>
    <mergeCell ref="D18:H18"/>
    <mergeCell ref="D22:H22"/>
    <mergeCell ref="D25:H25"/>
    <mergeCell ref="D26:H26"/>
    <mergeCell ref="D68:E68"/>
    <mergeCell ref="D44:H44"/>
    <mergeCell ref="D39:H39"/>
    <mergeCell ref="D40:H40"/>
    <mergeCell ref="D41:H41"/>
    <mergeCell ref="D42:H42"/>
    <mergeCell ref="D10:H10"/>
    <mergeCell ref="D31:H31"/>
    <mergeCell ref="K8:O8"/>
    <mergeCell ref="D8:E8"/>
    <mergeCell ref="D47:H47"/>
    <mergeCell ref="D16:H16"/>
    <mergeCell ref="D36:H36"/>
    <mergeCell ref="D29:H29"/>
    <mergeCell ref="D11:H11"/>
    <mergeCell ref="D15:H15"/>
    <mergeCell ref="D35:H35"/>
    <mergeCell ref="D33:H33"/>
    <mergeCell ref="D34:H34"/>
    <mergeCell ref="D23:H23"/>
    <mergeCell ref="D24:H24"/>
    <mergeCell ref="D20:H20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71" fitToHeight="2" orientation="portrait" r:id="rId1"/>
  <headerFooter alignWithMargins="0"/>
  <rowBreaks count="1" manualBreakCount="1">
    <brk id="60" min="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59</vt:i4>
      </vt:variant>
    </vt:vector>
  </HeadingPairs>
  <TitlesOfParts>
    <vt:vector size="60" baseType="lpstr">
      <vt:lpstr>Pricelist</vt:lpstr>
      <vt:lpstr>_90day</vt:lpstr>
      <vt:lpstr>_lhr2</vt:lpstr>
      <vt:lpstr>_sum3</vt:lpstr>
      <vt:lpstr>_sum4</vt:lpstr>
      <vt:lpstr>_sum5</vt:lpstr>
      <vt:lpstr>_sum6</vt:lpstr>
      <vt:lpstr>_win3</vt:lpstr>
      <vt:lpstr>_win4</vt:lpstr>
      <vt:lpstr>_win5</vt:lpstr>
      <vt:lpstr>_win6</vt:lpstr>
      <vt:lpstr>abata</vt:lpstr>
      <vt:lpstr>ann</vt:lpstr>
      <vt:lpstr>anni</vt:lpstr>
      <vt:lpstr>boatmover</vt:lpstr>
      <vt:lpstr>ccsur</vt:lpstr>
      <vt:lpstr>demast</vt:lpstr>
      <vt:lpstr>dinghylaunch</vt:lpstr>
      <vt:lpstr>discount</vt:lpstr>
      <vt:lpstr>elecmain</vt:lpstr>
      <vt:lpstr>engine</vt:lpstr>
      <vt:lpstr>hd</vt:lpstr>
      <vt:lpstr>launch7.6</vt:lpstr>
      <vt:lpstr>launch7.7</vt:lpstr>
      <vt:lpstr>lbloa</vt:lpstr>
      <vt:lpstr>lbprem</vt:lpstr>
      <vt:lpstr>lhr</vt:lpstr>
      <vt:lpstr>lift7.6</vt:lpstr>
      <vt:lpstr>lift7.7</vt:lpstr>
      <vt:lpstr>loa</vt:lpstr>
      <vt:lpstr>loaw</vt:lpstr>
      <vt:lpstr>pk7.6</vt:lpstr>
      <vt:lpstr>pk7.7</vt:lpstr>
      <vt:lpstr>prem90</vt:lpstr>
      <vt:lpstr>Pricelist!Print_Area</vt:lpstr>
      <vt:lpstr>sb</vt:lpstr>
      <vt:lpstr>sb90day</vt:lpstr>
      <vt:lpstr>sbi</vt:lpstr>
      <vt:lpstr>sbsum3</vt:lpstr>
      <vt:lpstr>sbsum4</vt:lpstr>
      <vt:lpstr>sbsum5</vt:lpstr>
      <vt:lpstr>sbsum6</vt:lpstr>
      <vt:lpstr>sbwin3</vt:lpstr>
      <vt:lpstr>sbwin4</vt:lpstr>
      <vt:lpstr>sbwin5</vt:lpstr>
      <vt:lpstr>sbwin6</vt:lpstr>
      <vt:lpstr>stepmast</vt:lpstr>
      <vt:lpstr>storw</vt:lpstr>
      <vt:lpstr>tawe12</vt:lpstr>
      <vt:lpstr>tawe3</vt:lpstr>
      <vt:lpstr>tawe4</vt:lpstr>
      <vt:lpstr>tawe5</vt:lpstr>
      <vt:lpstr>tawe6</vt:lpstr>
      <vt:lpstr>tow</vt:lpstr>
      <vt:lpstr>vat</vt:lpstr>
      <vt:lpstr>vath</vt:lpstr>
      <vt:lpstr>vis28bun</vt:lpstr>
      <vt:lpstr>visd</vt:lpstr>
      <vt:lpstr>vism</vt:lpstr>
      <vt:lpstr>visw</vt:lpstr>
    </vt:vector>
  </TitlesOfParts>
  <Company>City &amp; County of Swansea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&amp; County of Swansea</dc:creator>
  <cp:lastModifiedBy>asus</cp:lastModifiedBy>
  <cp:lastPrinted>2018-11-14T12:38:18Z</cp:lastPrinted>
  <dcterms:created xsi:type="dcterms:W3CDTF">2002-01-02T12:49:03Z</dcterms:created>
  <dcterms:modified xsi:type="dcterms:W3CDTF">2019-05-22T07:19:53Z</dcterms:modified>
</cp:coreProperties>
</file>