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1ffde75f42bc1/Backups/Documents/GitHub/X-HALE-Mass-balance-/"/>
    </mc:Choice>
  </mc:AlternateContent>
  <xr:revisionPtr revIDLastSave="23" documentId="114_{4F8F5EA7-5170-459B-98A7-F45D1B024050}" xr6:coauthVersionLast="47" xr6:coauthVersionMax="47" xr10:uidLastSave="{C6BA360E-A240-497D-B537-790351B204C5}"/>
  <bookViews>
    <workbookView xWindow="-110" yWindow="-110" windowWidth="38620" windowHeight="21100" activeTab="1" xr2:uid="{2E6D0B59-BC59-42DB-B1BA-EA5AA93E62F8}"/>
  </bookViews>
  <sheets>
    <sheet name="Readings" sheetId="1" r:id="rId1"/>
    <sheet name="rawdata_for_matlab" sheetId="5" r:id="rId2"/>
    <sheet name="Scales" sheetId="3" r:id="rId3"/>
    <sheet name="trackchanges" sheetId="6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B38" i="1"/>
  <c r="B39" i="1"/>
  <c r="B40" i="1"/>
  <c r="B41" i="1"/>
  <c r="B37" i="1"/>
  <c r="D65" i="6"/>
  <c r="D67" i="6"/>
  <c r="D68" i="6"/>
  <c r="B69" i="6"/>
  <c r="B58" i="6"/>
  <c r="D57" i="6"/>
  <c r="E57" i="6"/>
  <c r="F57" i="6"/>
  <c r="G57" i="6"/>
  <c r="H57" i="6"/>
  <c r="H56" i="6"/>
  <c r="C56" i="6"/>
  <c r="D56" i="6"/>
  <c r="E56" i="6"/>
  <c r="F56" i="6"/>
  <c r="C55" i="6"/>
  <c r="D55" i="6"/>
  <c r="E55" i="6"/>
  <c r="F55" i="6"/>
  <c r="G55" i="6"/>
  <c r="H55" i="6"/>
  <c r="D46" i="6"/>
  <c r="C46" i="6"/>
  <c r="D54" i="6"/>
  <c r="E54" i="6"/>
  <c r="F54" i="6"/>
  <c r="G54" i="6"/>
  <c r="H54" i="6"/>
  <c r="C45" i="6"/>
  <c r="D45" i="6"/>
  <c r="B45" i="6"/>
  <c r="C53" i="6"/>
  <c r="D53" i="6"/>
  <c r="B44" i="6"/>
  <c r="D44" i="6"/>
  <c r="B43" i="6"/>
  <c r="D43" i="6"/>
  <c r="C42" i="6"/>
  <c r="D42" i="6"/>
  <c r="B42" i="6"/>
  <c r="W39" i="6"/>
  <c r="V39" i="6"/>
  <c r="U39" i="6"/>
  <c r="Q39" i="6"/>
  <c r="L39" i="6"/>
  <c r="K39" i="6"/>
  <c r="M39" i="6"/>
  <c r="W38" i="6"/>
  <c r="V38" i="6"/>
  <c r="U38" i="6"/>
  <c r="Q38" i="6"/>
  <c r="M38" i="6"/>
  <c r="U37" i="6"/>
  <c r="Q37" i="6"/>
  <c r="M37" i="6"/>
  <c r="V36" i="6"/>
  <c r="U36" i="6"/>
  <c r="Q36" i="6"/>
  <c r="M36" i="6"/>
  <c r="W35" i="6"/>
  <c r="V35" i="6"/>
  <c r="U35" i="6"/>
  <c r="P35" i="6"/>
  <c r="Q35" i="6"/>
  <c r="M35" i="6"/>
  <c r="G29" i="6"/>
  <c r="D29" i="6"/>
  <c r="G28" i="6"/>
  <c r="D28" i="6"/>
  <c r="G27" i="6"/>
  <c r="D27" i="6"/>
  <c r="G26" i="6"/>
  <c r="D26" i="6"/>
  <c r="G25" i="6"/>
  <c r="D25" i="6"/>
  <c r="M20" i="6"/>
  <c r="I20" i="6"/>
  <c r="H20" i="6"/>
  <c r="G20" i="6"/>
  <c r="J19" i="6"/>
  <c r="M19" i="6"/>
  <c r="I19" i="6"/>
  <c r="H19" i="6"/>
  <c r="G19" i="6"/>
  <c r="M18" i="6"/>
  <c r="I18" i="6"/>
  <c r="H18" i="6"/>
  <c r="G18" i="6"/>
  <c r="L17" i="6"/>
  <c r="J17" i="6"/>
  <c r="M17" i="6"/>
  <c r="I17" i="6"/>
  <c r="H17" i="6"/>
  <c r="G17" i="6"/>
  <c r="L16" i="6"/>
  <c r="K16" i="6"/>
  <c r="J16" i="6"/>
  <c r="M16" i="6"/>
  <c r="I16" i="6"/>
  <c r="H16" i="6"/>
  <c r="G16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C58" i="6"/>
  <c r="BG10" i="5"/>
  <c r="BH10" i="5"/>
  <c r="BG11" i="5"/>
  <c r="BH11" i="5"/>
  <c r="BI11" i="5"/>
  <c r="BG12" i="5"/>
  <c r="BH12" i="5"/>
  <c r="BI12" i="5"/>
  <c r="BG13" i="5"/>
  <c r="BH13" i="5"/>
  <c r="BG14" i="5"/>
  <c r="BH14" i="5"/>
  <c r="BG15" i="5"/>
  <c r="BI15" i="5"/>
  <c r="BH15" i="5"/>
  <c r="BG16" i="5"/>
  <c r="BH16" i="5"/>
  <c r="BG17" i="5"/>
  <c r="BH17" i="5"/>
  <c r="BI10" i="5"/>
  <c r="BI16" i="5"/>
  <c r="BI14" i="5"/>
  <c r="BI13" i="5"/>
  <c r="BI17" i="5"/>
  <c r="L25" i="1"/>
  <c r="L28" i="1"/>
  <c r="L18" i="1"/>
  <c r="L27" i="1"/>
  <c r="L29" i="1"/>
  <c r="I40" i="1"/>
  <c r="I34" i="1"/>
  <c r="I46" i="1"/>
  <c r="D18" i="1"/>
  <c r="E18" i="1"/>
  <c r="E25" i="1"/>
  <c r="E27" i="1"/>
  <c r="F18" i="1"/>
  <c r="G18" i="1"/>
  <c r="H18" i="1"/>
  <c r="I18" i="1"/>
  <c r="J18" i="1"/>
  <c r="K18" i="1"/>
  <c r="M18" i="1"/>
  <c r="M25" i="1"/>
  <c r="M27" i="1"/>
  <c r="D25" i="1"/>
  <c r="D28" i="1"/>
  <c r="D27" i="1"/>
  <c r="D29" i="1"/>
  <c r="E28" i="1"/>
  <c r="F25" i="1"/>
  <c r="F28" i="1"/>
  <c r="F27" i="1"/>
  <c r="F29" i="1"/>
  <c r="G25" i="1"/>
  <c r="G27" i="1"/>
  <c r="H25" i="1"/>
  <c r="I25" i="1"/>
  <c r="I27" i="1"/>
  <c r="J25" i="1"/>
  <c r="J28" i="1"/>
  <c r="J27" i="1"/>
  <c r="J29" i="1"/>
  <c r="K25" i="1"/>
  <c r="K27" i="1"/>
  <c r="K49" i="1"/>
  <c r="K50" i="1"/>
  <c r="K51" i="1"/>
  <c r="K28" i="1"/>
  <c r="M28" i="1"/>
  <c r="M29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J39" i="1"/>
  <c r="J45" i="1"/>
  <c r="K33" i="1"/>
  <c r="L33" i="1"/>
  <c r="M33" i="1"/>
  <c r="D34" i="1"/>
  <c r="E34" i="1"/>
  <c r="E40" i="1"/>
  <c r="F34" i="1"/>
  <c r="G34" i="1"/>
  <c r="G40" i="1"/>
  <c r="G46" i="1"/>
  <c r="H34" i="1"/>
  <c r="H40" i="1"/>
  <c r="J34" i="1"/>
  <c r="K34" i="1"/>
  <c r="L34" i="1"/>
  <c r="M34" i="1"/>
  <c r="M40" i="1"/>
  <c r="M46" i="1"/>
  <c r="D35" i="1"/>
  <c r="E35" i="1"/>
  <c r="F35" i="1"/>
  <c r="G35" i="1"/>
  <c r="G41" i="1"/>
  <c r="G47" i="1"/>
  <c r="H35" i="1"/>
  <c r="I35" i="1"/>
  <c r="J35" i="1"/>
  <c r="J41" i="1"/>
  <c r="J47" i="1"/>
  <c r="K35" i="1"/>
  <c r="L35" i="1"/>
  <c r="M35" i="1"/>
  <c r="M41" i="1"/>
  <c r="M47" i="1"/>
  <c r="D37" i="1"/>
  <c r="E37" i="1"/>
  <c r="E43" i="1"/>
  <c r="F37" i="1"/>
  <c r="G37" i="1"/>
  <c r="G43" i="1"/>
  <c r="H37" i="1"/>
  <c r="H43" i="1"/>
  <c r="I37" i="1"/>
  <c r="I43" i="1"/>
  <c r="J37" i="1"/>
  <c r="K37" i="1"/>
  <c r="K43" i="1"/>
  <c r="L37" i="1"/>
  <c r="L43" i="1"/>
  <c r="M37" i="1"/>
  <c r="D38" i="1"/>
  <c r="E38" i="1"/>
  <c r="E44" i="1"/>
  <c r="F38" i="1"/>
  <c r="G38" i="1"/>
  <c r="G44" i="1"/>
  <c r="H38" i="1"/>
  <c r="H44" i="1"/>
  <c r="I38" i="1"/>
  <c r="I44" i="1"/>
  <c r="J38" i="1"/>
  <c r="K38" i="1"/>
  <c r="K44" i="1"/>
  <c r="L38" i="1"/>
  <c r="M38" i="1"/>
  <c r="M44" i="1"/>
  <c r="D39" i="1"/>
  <c r="D45" i="1"/>
  <c r="E39" i="1"/>
  <c r="E45" i="1"/>
  <c r="F39" i="1"/>
  <c r="F45" i="1"/>
  <c r="G39" i="1"/>
  <c r="G45" i="1"/>
  <c r="H39" i="1"/>
  <c r="I39" i="1"/>
  <c r="I45" i="1"/>
  <c r="K39" i="1"/>
  <c r="K45" i="1"/>
  <c r="L39" i="1"/>
  <c r="M39" i="1"/>
  <c r="M45" i="1"/>
  <c r="D40" i="1"/>
  <c r="D46" i="1"/>
  <c r="F40" i="1"/>
  <c r="J40" i="1"/>
  <c r="K40" i="1"/>
  <c r="L40" i="1"/>
  <c r="L46" i="1"/>
  <c r="D41" i="1"/>
  <c r="E41" i="1"/>
  <c r="E47" i="1"/>
  <c r="F41" i="1"/>
  <c r="H41" i="1"/>
  <c r="H47" i="1"/>
  <c r="I41" i="1"/>
  <c r="K41" i="1"/>
  <c r="K47" i="1"/>
  <c r="L41" i="1"/>
  <c r="D49" i="1"/>
  <c r="E49" i="1"/>
  <c r="F49" i="1"/>
  <c r="F50" i="1"/>
  <c r="F51" i="1"/>
  <c r="G49" i="1"/>
  <c r="H49" i="1"/>
  <c r="I49" i="1"/>
  <c r="I50" i="1"/>
  <c r="I51" i="1"/>
  <c r="J49" i="1"/>
  <c r="L49" i="1"/>
  <c r="M49" i="1"/>
  <c r="M50" i="1"/>
  <c r="M51" i="1"/>
  <c r="D50" i="1"/>
  <c r="D51" i="1"/>
  <c r="E50" i="1"/>
  <c r="G50" i="1"/>
  <c r="G51" i="1"/>
  <c r="H50" i="1"/>
  <c r="J50" i="1"/>
  <c r="L50" i="1"/>
  <c r="H46" i="1"/>
  <c r="L45" i="1"/>
  <c r="M43" i="1"/>
  <c r="K46" i="1"/>
  <c r="F43" i="1"/>
  <c r="I47" i="1"/>
  <c r="D47" i="1"/>
  <c r="L44" i="1"/>
  <c r="H45" i="1"/>
  <c r="J44" i="1"/>
  <c r="F47" i="1"/>
  <c r="F46" i="1"/>
  <c r="F44" i="1"/>
  <c r="D43" i="1"/>
  <c r="D44" i="1"/>
  <c r="L47" i="1"/>
  <c r="H27" i="1"/>
  <c r="H51" i="1"/>
  <c r="J51" i="1"/>
  <c r="J46" i="1"/>
  <c r="E46" i="1"/>
  <c r="J43" i="1"/>
  <c r="H28" i="1"/>
  <c r="L51" i="1"/>
  <c r="D58" i="6"/>
  <c r="E53" i="6"/>
  <c r="E29" i="1"/>
  <c r="E51" i="1"/>
  <c r="K29" i="1"/>
  <c r="I28" i="1"/>
  <c r="I29" i="1"/>
  <c r="H29" i="1"/>
  <c r="G28" i="1"/>
  <c r="G29" i="1"/>
  <c r="F53" i="6"/>
  <c r="E58" i="6"/>
  <c r="G53" i="6"/>
  <c r="F58" i="6"/>
  <c r="G58" i="6"/>
  <c r="H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</author>
  </authors>
  <commentList>
    <comment ref="G15" authorId="0" shapeId="0" xr:uid="{5F498234-5906-431C-9B28-7396403D51D4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24" authorId="0" shapeId="0" xr:uid="{05123366-0B96-4CB3-8046-36BF7A672AA6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33" authorId="0" shapeId="0" xr:uid="{D05D0877-37CA-4A2E-AEC0-C1D7A9FE6D49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</commentList>
</comments>
</file>

<file path=xl/sharedStrings.xml><?xml version="1.0" encoding="utf-8"?>
<sst xmlns="http://schemas.openxmlformats.org/spreadsheetml/2006/main" count="295" uniqueCount="213">
  <si>
    <t>Configuration:</t>
  </si>
  <si>
    <t>Notes on Configuration:</t>
  </si>
  <si>
    <t>ATV MAY 18</t>
  </si>
  <si>
    <t>RRV MAY 18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</si>
  <si>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</si>
  <si>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</si>
  <si>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</si>
  <si>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</si>
  <si>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</si>
  <si>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</si>
  <si>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</si>
  <si>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</si>
  <si>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</si>
  <si>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</si>
  <si>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spine 3</t>
  </si>
  <si>
    <t>spine 1</t>
  </si>
  <si>
    <t>spine 0</t>
  </si>
  <si>
    <t>spine 2</t>
  </si>
  <si>
    <t>spine 4</t>
  </si>
  <si>
    <t>Balance 1 - #3 Front</t>
  </si>
  <si>
    <t>Balance 2 - #1 Front</t>
  </si>
  <si>
    <t>Balance 3 - #0 Front</t>
  </si>
  <si>
    <t>Balance 4 - #2 Front</t>
  </si>
  <si>
    <t>Balance 5 - #4 Front</t>
  </si>
  <si>
    <t>SubTotal (1-5)(g)</t>
  </si>
  <si>
    <t>Balance 6 - # 3 Rear</t>
  </si>
  <si>
    <t>Balance 7 - #1 Rear</t>
  </si>
  <si>
    <t>Balance 8 - #0 Rear</t>
  </si>
  <si>
    <t>Balance 9 - #2 Rear</t>
  </si>
  <si>
    <t>Balance 10 - #4 Rear</t>
  </si>
  <si>
    <t>SubTotal(6-10)(g)</t>
  </si>
  <si>
    <t>TotalMass(g)</t>
  </si>
  <si>
    <t>TotalMoment (g-cm)</t>
  </si>
  <si>
    <t>CG (% of chord)</t>
  </si>
  <si>
    <t>Weight S3</t>
  </si>
  <si>
    <t>Weight S1</t>
  </si>
  <si>
    <t>Weight S0</t>
  </si>
  <si>
    <t>Weight S2</t>
  </si>
  <si>
    <t>Weight S4</t>
  </si>
  <si>
    <t>Moment S3 (g-cm)</t>
  </si>
  <si>
    <t>Moment S1 (g-cm)</t>
  </si>
  <si>
    <t>Moment S0 (g-cm)</t>
  </si>
  <si>
    <t>Moment S2 (g-cm)</t>
  </si>
  <si>
    <t>Moment S4 (g-cm)</t>
  </si>
  <si>
    <t>Xcg S3 (%)</t>
  </si>
  <si>
    <t>Xcg S1 (%)</t>
  </si>
  <si>
    <t>Xcg S0 (%)</t>
  </si>
  <si>
    <t>Xcg S2 (%)</t>
  </si>
  <si>
    <t>Xcg S4 (%)</t>
  </si>
  <si>
    <t>Y moment front</t>
  </si>
  <si>
    <t>Y moment rear</t>
  </si>
  <si>
    <t>Net YCG</t>
  </si>
  <si>
    <t>RRV Initial Apr 2019</t>
  </si>
  <si>
    <t>ATV Ma</t>
  </si>
  <si>
    <t>4/26/2019 RRV config 1</t>
  </si>
  <si>
    <t>05/10/19 RRV config 2</t>
  </si>
  <si>
    <t>ATV</t>
  </si>
  <si>
    <t>RRV Apr 19</t>
  </si>
  <si>
    <t>% Diff</t>
  </si>
  <si>
    <t>Mass [g]</t>
  </si>
  <si>
    <t>XCG</t>
  </si>
  <si>
    <t>YCG</t>
  </si>
  <si>
    <t>Spine 3</t>
  </si>
  <si>
    <t>Spine 1</t>
  </si>
  <si>
    <t>Spine 0</t>
  </si>
  <si>
    <t>Spine 2</t>
  </si>
  <si>
    <t>Spine 4</t>
  </si>
  <si>
    <t>Observations : Bilal</t>
  </si>
  <si>
    <t>Scale #</t>
  </si>
  <si>
    <t>Comments about slope</t>
  </si>
  <si>
    <t>After Fix</t>
  </si>
  <si>
    <t>Spine</t>
  </si>
  <si>
    <t>Front</t>
  </si>
  <si>
    <t>Rear</t>
  </si>
  <si>
    <t>Front and Rear (chordwise)</t>
  </si>
  <si>
    <t>Adjacent Station (spanwise)</t>
  </si>
  <si>
    <t>Spine 3 and 1</t>
  </si>
  <si>
    <t>Spine 1 and 0</t>
  </si>
  <si>
    <t>Spine 0 and 2</t>
  </si>
  <si>
    <t>Spine 2 and 4</t>
  </si>
  <si>
    <t>Tilts towards rear</t>
  </si>
  <si>
    <t>Flat Front and Rear </t>
  </si>
  <si>
    <t>Level</t>
  </si>
  <si>
    <t>Tilts towards spine 1 in the front, flat in rear </t>
  </si>
  <si>
    <t>Flat Front and Rear between </t>
  </si>
  <si>
    <t>Tilts towards rear less severe than first 3</t>
  </si>
  <si>
    <t>Tilts towards spine 4 both front and rear</t>
  </si>
  <si>
    <t xml:space="preserve">Tilts towards rear least severe </t>
  </si>
  <si>
    <t>Observations : Jack</t>
  </si>
  <si>
    <t xml:space="preserve">Comments about slope after washers </t>
  </si>
  <si>
    <t>Front and Rear</t>
  </si>
  <si>
    <t>Adjacent Station</t>
  </si>
  <si>
    <t>slightly tilts towards front after washers</t>
  </si>
  <si>
    <t>level front and rear after washers</t>
  </si>
  <si>
    <t>level after washers</t>
  </si>
  <si>
    <t>slightly tilts towards rear after washers</t>
  </si>
  <si>
    <t>level</t>
  </si>
  <si>
    <t>Comments/Questions about washers</t>
  </si>
  <si>
    <t>Response</t>
  </si>
  <si>
    <t>Do we want center of scales to be flatest, even if it makes the edges not as flat?</t>
  </si>
  <si>
    <t>No, since the scales themselves have a natural slope</t>
  </si>
  <si>
    <t>Does an individual scale have to be level throughout? (if you add one washer, do you need to do the same for the other 3 corners of the scale?</t>
  </si>
  <si>
    <t>Yes, otherwise it'll wobble</t>
  </si>
  <si>
    <t>make sure wires are not under corners of scale</t>
  </si>
  <si>
    <t>Of course</t>
  </si>
  <si>
    <t xml:space="preserve"> 20/10/17 </t>
  </si>
  <si>
    <t>Holes are referenced from the end of the ballast plate</t>
  </si>
  <si>
    <t>Spine #</t>
  </si>
  <si>
    <t>Current Ballast Mass Setup</t>
  </si>
  <si>
    <t>mass attached to holes</t>
  </si>
  <si>
    <t xml:space="preserve"> preadjRRV cg%</t>
  </si>
  <si>
    <t>adjustment1</t>
  </si>
  <si>
    <t>adjustment 2</t>
  </si>
  <si>
    <t>ATV%</t>
  </si>
  <si>
    <t>adj. RRVcg %</t>
  </si>
  <si>
    <t>initial</t>
  </si>
  <si>
    <t>115g plate + 137.4 mass</t>
  </si>
  <si>
    <t>6th and 6th from rear</t>
  </si>
  <si>
    <t>none</t>
  </si>
  <si>
    <t>115g plate + 140g mass + 20g plate</t>
  </si>
  <si>
    <t>4 and 3rd from rear</t>
  </si>
  <si>
    <t>took off 20g plate, shifted both screws back by one</t>
  </si>
  <si>
    <t>965g- 3 plates (top plate 272.8g)</t>
  </si>
  <si>
    <t>2 and 2nd from rear</t>
  </si>
  <si>
    <t>removed 25g from each camera</t>
  </si>
  <si>
    <t>take off ballast mass (272.8g) and swap wi spine 2(120g)</t>
  </si>
  <si>
    <t>115g plate + 120g mass</t>
  </si>
  <si>
    <t>shifted both screws forward by one</t>
  </si>
  <si>
    <t>take off 120g ballast mass and swap with 272.8 from spine0</t>
  </si>
  <si>
    <t>115g plate + 139.1g mass</t>
  </si>
  <si>
    <t>shifted both screws back by 2</t>
  </si>
  <si>
    <t>02/28/18</t>
  </si>
  <si>
    <t>mass in grams</t>
  </si>
  <si>
    <t>Ballast Mass Setup</t>
  </si>
  <si>
    <t>predadjRRV cg%</t>
  </si>
  <si>
    <t>ATV %</t>
  </si>
  <si>
    <t>adj2 %</t>
  </si>
  <si>
    <t>removed</t>
  </si>
  <si>
    <t>added</t>
  </si>
  <si>
    <t>final</t>
  </si>
  <si>
    <t>Remarks</t>
  </si>
  <si>
    <t>removed gopro(201.1g) and 137.4g , added 210.5g</t>
  </si>
  <si>
    <t>GoPro connectedd to holes 4,1 and 4,4 w/mass incl. attachment of 201.1g</t>
  </si>
  <si>
    <t xml:space="preserve">115g plate + 140g mass </t>
  </si>
  <si>
    <t>3rd and 2nd from rear</t>
  </si>
  <si>
    <t>removed 140.9,(added 225.3g mass +40.1g plate)</t>
  </si>
  <si>
    <t>mass connected at 1,1 and 2,2 on 40g plate, 40g plate at 1,1 &amp; 1,3</t>
  </si>
  <si>
    <t>812.2g- 3 plates (top plate 120g)</t>
  </si>
  <si>
    <t>swapped 120g plate with 272.8g from #2</t>
  </si>
  <si>
    <t>115g plate + 272.8g mass</t>
  </si>
  <si>
    <t>3rd and 3rd from rear</t>
  </si>
  <si>
    <t>swapped 272.8g plate with 120g from #0</t>
  </si>
  <si>
    <t>mass connected at 1,2 and 1,4</t>
  </si>
  <si>
    <t>4th and 4th from rear</t>
  </si>
  <si>
    <t>removed gopro 199.8, and added 190.7</t>
  </si>
  <si>
    <t>mass added at 8,2 and 10,4 other mass is at 4,1 and 4,5</t>
  </si>
  <si>
    <t>GoPro connectedd to holes 4,1 and 4,4 w/mass incl. attachment of 199.8g</t>
  </si>
  <si>
    <t>03/15/18</t>
  </si>
  <si>
    <t>114g plate + 210.5g mass =324.5g</t>
  </si>
  <si>
    <t>115g plate+ 40g plate+ 225.3g mass</t>
  </si>
  <si>
    <t>mass 1,1 and 2,2, plate at 1,1 and 1,3</t>
  </si>
  <si>
    <t>replaced 225.3 g mass with 219g, with higher rear bias</t>
  </si>
  <si>
    <t>60g plate + 905g masses =965g</t>
  </si>
  <si>
    <t>moved mass to 1,5 and 2,5 (3 positions forward)</t>
  </si>
  <si>
    <t>115g plate + 120g mass = 235g</t>
  </si>
  <si>
    <t>1,2 and 1,4</t>
  </si>
  <si>
    <t>115g plate + 190.7+139.1g mass = 448.4g</t>
  </si>
  <si>
    <t>both masses attached at 4,1 and 4,5</t>
  </si>
  <si>
    <t>mass in grams adj1</t>
  </si>
  <si>
    <t>mass in grams adj 2</t>
  </si>
  <si>
    <t>mass in grams adj 3</t>
  </si>
  <si>
    <t>9,1 and 9,5</t>
  </si>
  <si>
    <t>mass moved to 10,1 and 10,5</t>
  </si>
  <si>
    <t xml:space="preserve">114g plate + 36.8g plate + 139.1g mass at at 3,2 and 6,2 </t>
  </si>
  <si>
    <t>115g plate + 224g mass + 40g plate</t>
  </si>
  <si>
    <t>mass at 1,1 and 2,2, plate at 1,1 and 1,3</t>
  </si>
  <si>
    <t>moved mass and 40g plate back to under the rear wheel</t>
  </si>
  <si>
    <t>5,1 and 5,2</t>
  </si>
  <si>
    <t xml:space="preserve">swap 272.8 g with 120 from #2, 120 g attached at 12,1 and 12,2 </t>
  </si>
  <si>
    <t>swapped 120g mass with 272.5g from #0, 272.8 attached at 7,2 and 8,5</t>
  </si>
  <si>
    <t>4,1 and 4,5</t>
  </si>
  <si>
    <t>removed 190.7 and 139.1, added 219.3+50.4</t>
  </si>
  <si>
    <t>Foam Mass (g)</t>
  </si>
  <si>
    <t>current ballast mass (g)</t>
  </si>
  <si>
    <t>allowable ballast mass (g)</t>
  </si>
  <si>
    <t>Post crash 07/21/18 mass foam+ballast</t>
  </si>
  <si>
    <t>0R+L</t>
  </si>
  <si>
    <t>Summer 19 Flight Tests Configuration 1: No Foam</t>
  </si>
  <si>
    <t>Ballast Mass [g]</t>
  </si>
  <si>
    <t>change1</t>
  </si>
  <si>
    <t>change2</t>
  </si>
  <si>
    <t>change3</t>
  </si>
  <si>
    <t>change4</t>
  </si>
  <si>
    <t>change5</t>
  </si>
  <si>
    <t>position of ballast mass wrt plate</t>
  </si>
  <si>
    <t>all the way back</t>
  </si>
  <si>
    <t>near the front</t>
  </si>
  <si>
    <t>middle</t>
  </si>
  <si>
    <t>SUM</t>
  </si>
  <si>
    <t>Summer 19 Flight Tests Configuration 2: w/ Foam Blocks</t>
  </si>
  <si>
    <t>Allowable ballast mass</t>
  </si>
  <si>
    <t>Change from Conf 1 to Conf 2</t>
  </si>
  <si>
    <t>Additional Notes</t>
  </si>
  <si>
    <t>N/A</t>
  </si>
  <si>
    <t>Trimmed mass off of aluminum plate and foam blocks, added 10.7 g of washers to compensate</t>
  </si>
  <si>
    <t>Did not change any steel plates</t>
  </si>
  <si>
    <t>replaced 142.2 and 221.9 g mass with 272.9 g plate and 4 washers</t>
  </si>
  <si>
    <t>Did not replace any mass, just added foam</t>
  </si>
  <si>
    <t>. Could not fit all of the foam originally planned due to problems with instrument access</t>
  </si>
  <si>
    <t>Remove 270.6 g plate and replace with 218.6 g square plate</t>
  </si>
  <si>
    <t>Remove 50.4 g plate, but 32.6g of washers on bolts, put foam through bolts</t>
  </si>
  <si>
    <t>Need to take out battery to switch</t>
  </si>
  <si>
    <t>ATV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</si>
</sst>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6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Times New Roman"/>
      <family val="1"/>
    </font>
    <font>
      <sz val="16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9" borderId="0" applyNumberFormat="0" applyBorder="0" applyAlignment="0" applyProtection="0"/>
  </cellStyleXfs>
  <cellXfs count="159">
    <xf numFmtId="0" fontId="0" fillId="0" borderId="0" xfId="0"/>
    <xf numFmtId="0" fontId="0" fillId="0" borderId="3" xfId="0" applyBorder="1" applyAlignment="1">
      <alignment horizontal="center"/>
    </xf>
    <xf numFmtId="164" fontId="3" fillId="3" borderId="5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top" wrapText="1"/>
    </xf>
    <xf numFmtId="164" fontId="7" fillId="3" borderId="5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/>
    <xf numFmtId="164" fontId="3" fillId="3" borderId="11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top" wrapText="1"/>
    </xf>
    <xf numFmtId="164" fontId="3" fillId="3" borderId="17" xfId="0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3" borderId="18" xfId="0" applyNumberFormat="1" applyFont="1" applyFill="1" applyBorder="1" applyAlignment="1">
      <alignment horizontal="center" vertical="center" wrapText="1"/>
    </xf>
    <xf numFmtId="164" fontId="3" fillId="3" borderId="19" xfId="0" applyNumberFormat="1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2" fontId="3" fillId="0" borderId="12" xfId="0" applyNumberFormat="1" applyFont="1" applyBorder="1" applyAlignment="1">
      <alignment horizontal="center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2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165" fontId="15" fillId="7" borderId="12" xfId="0" applyNumberFormat="1" applyFont="1" applyFill="1" applyBorder="1" applyAlignment="1">
      <alignment horizontal="center" vertical="center" wrapText="1"/>
    </xf>
    <xf numFmtId="165" fontId="15" fillId="7" borderId="5" xfId="0" applyNumberFormat="1" applyFont="1" applyFill="1" applyBorder="1" applyAlignment="1">
      <alignment horizontal="center" vertical="center" wrapText="1"/>
    </xf>
    <xf numFmtId="165" fontId="15" fillId="7" borderId="21" xfId="0" applyNumberFormat="1" applyFont="1" applyFill="1" applyBorder="1" applyAlignment="1">
      <alignment horizontal="center" vertical="center" wrapText="1"/>
    </xf>
    <xf numFmtId="165" fontId="5" fillId="7" borderId="12" xfId="0" applyNumberFormat="1" applyFont="1" applyFill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 wrapText="1"/>
    </xf>
    <xf numFmtId="165" fontId="5" fillId="7" borderId="21" xfId="0" applyNumberFormat="1" applyFont="1" applyFill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1" fillId="0" borderId="13" xfId="1" applyNumberFormat="1" applyFont="1" applyBorder="1" applyAlignment="1">
      <alignment horizontal="center"/>
    </xf>
    <xf numFmtId="2" fontId="12" fillId="8" borderId="13" xfId="1" applyNumberFormat="1" applyFont="1" applyFill="1" applyBorder="1" applyAlignment="1">
      <alignment horizontal="center"/>
    </xf>
    <xf numFmtId="2" fontId="12" fillId="8" borderId="22" xfId="1" applyNumberFormat="1" applyFont="1" applyFill="1" applyBorder="1" applyAlignment="1">
      <alignment horizontal="center"/>
    </xf>
    <xf numFmtId="2" fontId="12" fillId="8" borderId="23" xfId="1" applyNumberFormat="1" applyFont="1" applyFill="1" applyBorder="1" applyAlignment="1">
      <alignment horizontal="center"/>
    </xf>
    <xf numFmtId="2" fontId="0" fillId="8" borderId="13" xfId="1" applyNumberFormat="1" applyFont="1" applyFill="1" applyBorder="1" applyAlignment="1">
      <alignment horizontal="center"/>
    </xf>
    <xf numFmtId="2" fontId="0" fillId="8" borderId="22" xfId="1" applyNumberFormat="1" applyFont="1" applyFill="1" applyBorder="1" applyAlignment="1">
      <alignment horizontal="center"/>
    </xf>
    <xf numFmtId="2" fontId="0" fillId="8" borderId="23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7" fontId="16" fillId="4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14" fontId="0" fillId="0" borderId="0" xfId="0" applyNumberFormat="1"/>
    <xf numFmtId="164" fontId="0" fillId="0" borderId="5" xfId="0" applyNumberFormat="1" applyBorder="1" applyAlignment="1">
      <alignment horizontal="left"/>
    </xf>
    <xf numFmtId="0" fontId="17" fillId="9" borderId="5" xfId="2" applyBorder="1" applyAlignment="1">
      <alignment horizontal="left"/>
    </xf>
    <xf numFmtId="164" fontId="0" fillId="0" borderId="0" xfId="0" applyNumberFormat="1"/>
    <xf numFmtId="17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wrapText="1"/>
    </xf>
    <xf numFmtId="165" fontId="5" fillId="4" borderId="7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0" fontId="5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5" xfId="0" applyNumberFormat="1" applyBorder="1" applyAlignment="1"/>
    <xf numFmtId="14" fontId="0" fillId="0" borderId="26" xfId="0" applyNumberFormat="1" applyBorder="1" applyAlignment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2" borderId="35" xfId="0" applyFill="1" applyBorder="1"/>
    <xf numFmtId="0" fontId="0" fillId="2" borderId="0" xfId="0" applyFill="1" applyBorder="1"/>
    <xf numFmtId="0" fontId="0" fillId="2" borderId="32" xfId="0" applyFill="1" applyBorder="1"/>
    <xf numFmtId="0" fontId="0" fillId="2" borderId="6" xfId="0" applyFill="1" applyBorder="1"/>
    <xf numFmtId="164" fontId="9" fillId="3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2" fontId="9" fillId="3" borderId="5" xfId="1" applyNumberFormat="1" applyFont="1" applyFill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/>
    </xf>
    <xf numFmtId="2" fontId="0" fillId="0" borderId="5" xfId="1" applyNumberFormat="1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\OneDrive\Michigan\2018\Winter%202018\Work\Mass%20and%20CG%20Balance\Mass%20and%20C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ATV Only Summary"/>
      <sheetName val="Mass_CG Raw Data"/>
      <sheetName val="Scales"/>
      <sheetName val="trackchanges"/>
      <sheetName val="ATV Trends"/>
      <sheetName val="Summary2"/>
      <sheetName val="dlm1"/>
      <sheetName val="dlm2"/>
      <sheetName val="dlm3"/>
      <sheetName val="dlm4"/>
      <sheetName val="May 18 ATV "/>
      <sheetName val="dlm5"/>
      <sheetName val="dlm6"/>
      <sheetName val="RRV and ATV Nov 17 Flight "/>
      <sheetName val="Fairings"/>
    </sheetNames>
    <sheetDataSet>
      <sheetData sheetId="0">
        <row r="43">
          <cell r="O43">
            <v>34.435229142354423</v>
          </cell>
        </row>
        <row r="44">
          <cell r="O44">
            <v>37.733484840131204</v>
          </cell>
        </row>
        <row r="45">
          <cell r="O45">
            <v>41.38478272975911</v>
          </cell>
        </row>
        <row r="46">
          <cell r="O46">
            <v>44.772644260829409</v>
          </cell>
        </row>
        <row r="47">
          <cell r="O47">
            <v>32.260510585419937</v>
          </cell>
        </row>
      </sheetData>
      <sheetData sheetId="1">
        <row r="40">
          <cell r="B40">
            <v>37.171659949187635</v>
          </cell>
        </row>
        <row r="41">
          <cell r="B41">
            <v>47.684076697520744</v>
          </cell>
        </row>
        <row r="42">
          <cell r="B42">
            <v>34.206952000490709</v>
          </cell>
        </row>
        <row r="43">
          <cell r="B43">
            <v>44.388213520032821</v>
          </cell>
        </row>
        <row r="44">
          <cell r="B44">
            <v>39.535339695544444</v>
          </cell>
        </row>
      </sheetData>
      <sheetData sheetId="2">
        <row r="43">
          <cell r="F43">
            <v>39.530195381882763</v>
          </cell>
          <cell r="G43">
            <v>36.741499564080208</v>
          </cell>
          <cell r="H43">
            <v>34.428525544944534</v>
          </cell>
          <cell r="I43">
            <v>36.742462538364329</v>
          </cell>
          <cell r="J43">
            <v>39.832179324247335</v>
          </cell>
          <cell r="K43">
            <v>38.989463220675944</v>
          </cell>
          <cell r="L43">
            <v>39.937914859722071</v>
          </cell>
          <cell r="M43">
            <v>43.128698612202157</v>
          </cell>
          <cell r="N43">
            <v>31.188785170181855</v>
          </cell>
          <cell r="O43">
            <v>30.473784449921581</v>
          </cell>
          <cell r="P43">
            <v>31.054197662061629</v>
          </cell>
          <cell r="EJ43">
            <v>39.361280892904588</v>
          </cell>
          <cell r="EK43">
            <v>37.239720073024429</v>
          </cell>
          <cell r="EL43">
            <v>39.507170906607463</v>
          </cell>
          <cell r="EM43">
            <v>36.458437656484712</v>
          </cell>
          <cell r="EN43">
            <v>37.481341625944019</v>
          </cell>
          <cell r="EO43">
            <v>39.513664273977348</v>
          </cell>
          <cell r="EP43">
            <v>36.330011938653684</v>
          </cell>
          <cell r="EQ43">
            <v>35.164939257497238</v>
          </cell>
        </row>
        <row r="44">
          <cell r="F44">
            <v>36.166666666666664</v>
          </cell>
          <cell r="G44">
            <v>38.364416159380191</v>
          </cell>
          <cell r="H44">
            <v>37.07757526819703</v>
          </cell>
          <cell r="I44">
            <v>51.499999999999993</v>
          </cell>
          <cell r="J44">
            <v>51.499999999999993</v>
          </cell>
          <cell r="K44">
            <v>51.499999999999993</v>
          </cell>
          <cell r="L44">
            <v>49.730142806562021</v>
          </cell>
          <cell r="M44">
            <v>46.01584763012503</v>
          </cell>
          <cell r="N44">
            <v>51.499999999999993</v>
          </cell>
          <cell r="O44">
            <v>51.499999999999993</v>
          </cell>
          <cell r="P44">
            <v>51.499999999999993</v>
          </cell>
          <cell r="EJ44">
            <v>30.27328747492118</v>
          </cell>
          <cell r="EK44">
            <v>32.171450417597924</v>
          </cell>
          <cell r="EL44">
            <v>34.261431411530808</v>
          </cell>
          <cell r="EM44">
            <v>40.876931919785406</v>
          </cell>
          <cell r="EN44">
            <v>37.703941730934012</v>
          </cell>
          <cell r="EO44">
            <v>37.664781167866522</v>
          </cell>
          <cell r="EP44">
            <v>33.492248062015506</v>
          </cell>
          <cell r="EQ44">
            <v>35.853741496598637</v>
          </cell>
        </row>
        <row r="45">
          <cell r="F45">
            <v>46.673952366596325</v>
          </cell>
          <cell r="G45">
            <v>46.703712632594019</v>
          </cell>
          <cell r="H45">
            <v>50.620126705653014</v>
          </cell>
          <cell r="I45">
            <v>30.88228754584043</v>
          </cell>
          <cell r="J45">
            <v>29.028122463179862</v>
          </cell>
          <cell r="K45">
            <v>30.128850294244298</v>
          </cell>
          <cell r="L45">
            <v>31.352439554075573</v>
          </cell>
          <cell r="M45">
            <v>30.628977256307248</v>
          </cell>
          <cell r="N45">
            <v>42.231111437380711</v>
          </cell>
          <cell r="O45">
            <v>41.688260304712415</v>
          </cell>
          <cell r="P45">
            <v>39.550124724871594</v>
          </cell>
          <cell r="EJ45">
            <v>47.882085204515114</v>
          </cell>
          <cell r="EK45">
            <v>47.366990881458946</v>
          </cell>
          <cell r="EL45">
            <v>42.271769893049715</v>
          </cell>
          <cell r="EM45">
            <v>45.542123399578173</v>
          </cell>
          <cell r="EN45">
            <v>45.662943573574452</v>
          </cell>
          <cell r="EO45">
            <v>45.397495991118781</v>
          </cell>
          <cell r="EP45">
            <v>48.721095700833345</v>
          </cell>
          <cell r="EQ45">
            <v>49.950993831391358</v>
          </cell>
        </row>
        <row r="46">
          <cell r="F46">
            <v>35.973551637279591</v>
          </cell>
          <cell r="G46">
            <v>41.201917130488546</v>
          </cell>
          <cell r="H46">
            <v>45.578528827037779</v>
          </cell>
          <cell r="I46">
            <v>49.9520687383989</v>
          </cell>
          <cell r="J46">
            <v>51.494663882605415</v>
          </cell>
          <cell r="K46">
            <v>51.452628868928421</v>
          </cell>
          <cell r="L46">
            <v>50.551768564066521</v>
          </cell>
          <cell r="M46">
            <v>51.499999999999993</v>
          </cell>
          <cell r="N46">
            <v>51.499999999999993</v>
          </cell>
          <cell r="O46">
            <v>51.499999999999993</v>
          </cell>
          <cell r="P46">
            <v>51.499999999999993</v>
          </cell>
          <cell r="EJ46">
            <v>48.963040980467241</v>
          </cell>
          <cell r="EK46">
            <v>51.499999999999993</v>
          </cell>
          <cell r="EL46">
            <v>50.756260953134714</v>
          </cell>
          <cell r="EM46">
            <v>51.499999999999993</v>
          </cell>
          <cell r="EN46">
            <v>51.18199660202707</v>
          </cell>
          <cell r="EO46">
            <v>51.264185016893848</v>
          </cell>
          <cell r="EP46">
            <v>51.442782834850462</v>
          </cell>
          <cell r="EQ46">
            <v>51.457127046076778</v>
          </cell>
        </row>
        <row r="47">
          <cell r="F47">
            <v>23.285588752196833</v>
          </cell>
          <cell r="G47">
            <v>21.460836083608353</v>
          </cell>
          <cell r="H47">
            <v>17.702084662837692</v>
          </cell>
          <cell r="I47">
            <v>36.317430642108647</v>
          </cell>
          <cell r="J47">
            <v>33.869367698868906</v>
          </cell>
          <cell r="K47">
            <v>32.438652615732025</v>
          </cell>
          <cell r="L47">
            <v>33.824429604897041</v>
          </cell>
          <cell r="M47">
            <v>34.805203209940451</v>
          </cell>
          <cell r="N47">
            <v>28.239498796040312</v>
          </cell>
          <cell r="O47">
            <v>28.987830319888729</v>
          </cell>
          <cell r="P47">
            <v>31.770786006360741</v>
          </cell>
          <cell r="EJ47">
            <v>20.846000275368308</v>
          </cell>
          <cell r="EK47">
            <v>22.927019195943494</v>
          </cell>
          <cell r="EL47">
            <v>26.511223848433147</v>
          </cell>
          <cell r="EM47">
            <v>25.071490656236417</v>
          </cell>
          <cell r="EN47">
            <v>24.521131805157587</v>
          </cell>
          <cell r="EO47">
            <v>24.879443179828399</v>
          </cell>
          <cell r="EP47">
            <v>22.50795877996044</v>
          </cell>
          <cell r="EQ47">
            <v>20.421946252269009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BA5F-7D84-4AC9-892C-AC6A46C2B820}">
  <dimension ref="A1:CP56"/>
  <sheetViews>
    <sheetView zoomScale="95" zoomScaleNormal="110" workbookViewId="0">
      <selection activeCell="C38" sqref="C38"/>
    </sheetView>
  </sheetViews>
  <sheetFormatPr defaultRowHeight="14.5" x14ac:dyDescent="0.35"/>
  <cols>
    <col min="1" max="1" width="21.90625" bestFit="1" customWidth="1"/>
    <col min="2" max="2" width="12.90625" bestFit="1" customWidth="1"/>
    <col min="3" max="3" width="13" bestFit="1" customWidth="1"/>
    <col min="4" max="5" width="10.90625" bestFit="1" customWidth="1"/>
    <col min="6" max="6" width="11.54296875" bestFit="1" customWidth="1"/>
    <col min="7" max="7" width="10.90625" bestFit="1" customWidth="1"/>
    <col min="8" max="59" width="11" bestFit="1" customWidth="1"/>
  </cols>
  <sheetData>
    <row r="1" spans="1:94" x14ac:dyDescent="0.35">
      <c r="A1" s="98"/>
      <c r="P1" s="21"/>
    </row>
    <row r="2" spans="1:94" x14ac:dyDescent="0.35">
      <c r="A2" s="98"/>
      <c r="P2" s="21"/>
    </row>
    <row r="3" spans="1:94" ht="15" thickBot="1" x14ac:dyDescent="0.4"/>
    <row r="4" spans="1:94" ht="16.5" customHeight="1" thickBot="1" x14ac:dyDescent="0.4">
      <c r="A4" s="8" t="s">
        <v>0</v>
      </c>
      <c r="B4" s="13"/>
      <c r="C4" s="13"/>
      <c r="D4" s="125"/>
      <c r="E4" s="126"/>
      <c r="F4" s="126"/>
      <c r="G4" s="126"/>
      <c r="H4" s="126"/>
      <c r="I4" s="126"/>
      <c r="J4" s="126"/>
      <c r="K4" s="126"/>
      <c r="L4" s="127"/>
      <c r="M4" s="128"/>
      <c r="N4" s="112"/>
      <c r="O4" s="112"/>
      <c r="P4" s="112"/>
      <c r="Q4" s="112"/>
      <c r="R4" s="107"/>
      <c r="S4" s="107"/>
      <c r="T4" s="107"/>
      <c r="U4" s="107"/>
      <c r="V4" s="107"/>
      <c r="W4" s="107"/>
      <c r="X4" s="107"/>
      <c r="Y4" s="107"/>
      <c r="Z4" s="107"/>
      <c r="AA4" s="113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8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</row>
    <row r="5" spans="1:94" ht="31.5" thickBot="1" x14ac:dyDescent="0.4">
      <c r="A5" s="14" t="s">
        <v>1</v>
      </c>
      <c r="B5" t="s">
        <v>2</v>
      </c>
      <c r="C5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9" t="s">
        <v>13</v>
      </c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</row>
    <row r="6" spans="1:94" ht="15" thickBot="1" x14ac:dyDescent="0.4">
      <c r="A6" s="9"/>
      <c r="B6" s="13"/>
      <c r="C6" s="13"/>
      <c r="D6" s="130" t="s">
        <v>212</v>
      </c>
      <c r="E6" s="99"/>
      <c r="F6" s="99"/>
      <c r="G6" s="99"/>
      <c r="H6" s="99"/>
      <c r="I6" s="99"/>
      <c r="J6" s="99"/>
      <c r="K6" s="99"/>
      <c r="L6" s="99"/>
      <c r="M6" s="131"/>
      <c r="N6" s="115"/>
      <c r="O6" s="115"/>
      <c r="P6" s="115"/>
      <c r="Q6" s="115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</row>
    <row r="7" spans="1:94" ht="15.5" x14ac:dyDescent="0.35">
      <c r="A7" s="15" t="s">
        <v>14</v>
      </c>
      <c r="D7" s="132"/>
      <c r="E7" s="1"/>
      <c r="F7" s="133"/>
      <c r="G7" s="1"/>
      <c r="H7" s="1"/>
      <c r="I7" s="1"/>
      <c r="J7" s="1"/>
      <c r="K7" s="1"/>
      <c r="L7" s="1"/>
      <c r="M7" s="134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1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7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</row>
    <row r="8" spans="1:94" ht="15.5" x14ac:dyDescent="0.35">
      <c r="A8" s="10" t="s">
        <v>15</v>
      </c>
      <c r="D8" s="135"/>
      <c r="E8" s="133"/>
      <c r="F8" s="133"/>
      <c r="G8" s="133"/>
      <c r="H8" s="133"/>
      <c r="I8" s="133"/>
      <c r="J8" s="133"/>
      <c r="K8" s="133"/>
      <c r="L8" s="133"/>
      <c r="M8" s="136"/>
      <c r="N8" s="110"/>
      <c r="O8" s="110"/>
      <c r="P8" s="110"/>
      <c r="Q8" s="110"/>
      <c r="R8" s="110"/>
      <c r="S8" s="110"/>
      <c r="T8" s="110"/>
      <c r="U8" s="110"/>
      <c r="V8" s="110"/>
      <c r="W8" s="111"/>
      <c r="X8" s="110"/>
      <c r="Y8" s="110"/>
      <c r="Z8" s="110"/>
      <c r="AA8" s="110"/>
      <c r="AB8" s="109"/>
      <c r="AC8" s="111"/>
      <c r="AD8" s="110"/>
      <c r="AE8" s="111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</row>
    <row r="9" spans="1:94" ht="15.5" x14ac:dyDescent="0.35">
      <c r="A9" s="10" t="s">
        <v>16</v>
      </c>
      <c r="D9" s="135"/>
      <c r="E9" s="133"/>
      <c r="F9" s="133"/>
      <c r="G9" s="133"/>
      <c r="H9" s="133"/>
      <c r="I9" s="133"/>
      <c r="J9" s="133"/>
      <c r="K9" s="133"/>
      <c r="L9" s="133"/>
      <c r="M9" s="136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1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1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</row>
    <row r="10" spans="1:94" ht="15.5" x14ac:dyDescent="0.35">
      <c r="A10" s="10" t="s">
        <v>17</v>
      </c>
      <c r="D10" s="135"/>
      <c r="E10" s="133"/>
      <c r="F10" s="108"/>
      <c r="G10" s="133"/>
      <c r="H10" s="133"/>
      <c r="I10" s="133"/>
      <c r="J10" s="133"/>
      <c r="K10" s="133"/>
      <c r="L10" s="133"/>
      <c r="M10" s="136"/>
      <c r="N10" s="110"/>
      <c r="O10" s="110"/>
      <c r="P10" s="110"/>
      <c r="Q10" s="110"/>
      <c r="R10" s="109"/>
      <c r="S10" s="109"/>
      <c r="T10" s="109"/>
      <c r="U10" s="110"/>
      <c r="V10" s="109"/>
      <c r="W10" s="111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1"/>
      <c r="AI10" s="110"/>
      <c r="AJ10" s="110"/>
      <c r="AK10" s="110"/>
      <c r="AL10" s="111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1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</row>
    <row r="11" spans="1:94" ht="16" thickBot="1" x14ac:dyDescent="0.4">
      <c r="A11" s="16" t="s">
        <v>18</v>
      </c>
      <c r="D11" s="135"/>
      <c r="E11" s="20"/>
      <c r="F11" s="20"/>
      <c r="G11" s="20"/>
      <c r="H11" s="20"/>
      <c r="I11" s="20"/>
      <c r="J11" s="20"/>
      <c r="K11" s="20"/>
      <c r="L11" s="20"/>
      <c r="M11" s="137"/>
      <c r="N11" s="110"/>
      <c r="O11" s="110"/>
      <c r="P11" s="110"/>
      <c r="Q11" s="110"/>
      <c r="R11" s="110"/>
      <c r="S11" s="111"/>
      <c r="T11" s="110"/>
      <c r="U11" s="110"/>
      <c r="V11" s="109"/>
      <c r="W11" s="111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</row>
    <row r="12" spans="1:94" ht="15.5" x14ac:dyDescent="0.35">
      <c r="A12" s="143"/>
      <c r="B12" s="144"/>
      <c r="C12" s="144"/>
      <c r="D12" s="145"/>
      <c r="E12" s="146"/>
      <c r="F12" s="147"/>
      <c r="G12" s="147"/>
      <c r="H12" s="147"/>
      <c r="I12" s="147"/>
      <c r="J12" s="147"/>
      <c r="K12" s="147"/>
      <c r="L12" s="147"/>
      <c r="M12" s="148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</row>
    <row r="13" spans="1:94" ht="15.5" x14ac:dyDescent="0.35">
      <c r="A13" s="11" t="s">
        <v>19</v>
      </c>
      <c r="B13" s="149">
        <v>340.3</v>
      </c>
      <c r="C13" s="150">
        <v>319.59999999999997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</row>
    <row r="14" spans="1:94" ht="15.5" x14ac:dyDescent="0.35">
      <c r="A14" s="11" t="s">
        <v>20</v>
      </c>
      <c r="B14" s="149">
        <v>254.33333333333334</v>
      </c>
      <c r="C14" s="150">
        <v>271.5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</row>
    <row r="15" spans="1:94" ht="15.5" x14ac:dyDescent="0.35">
      <c r="A15" s="11" t="s">
        <v>21</v>
      </c>
      <c r="B15" s="149">
        <v>517.41666666666663</v>
      </c>
      <c r="C15" s="150">
        <v>485.45000000000005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</row>
    <row r="16" spans="1:94" ht="15.5" x14ac:dyDescent="0.35">
      <c r="A16" s="11" t="s">
        <v>22</v>
      </c>
      <c r="B16" s="149">
        <v>287.16666666666669</v>
      </c>
      <c r="C16" s="150">
        <v>287.66666666666669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</row>
    <row r="17" spans="1:94" ht="15.5" x14ac:dyDescent="0.35">
      <c r="A17" s="11" t="s">
        <v>23</v>
      </c>
      <c r="B17" s="149">
        <v>325.7</v>
      </c>
      <c r="C17" s="150">
        <v>345.86666666666673</v>
      </c>
      <c r="D17" s="2"/>
      <c r="E17" s="2"/>
      <c r="F17" s="2"/>
      <c r="G17" s="98"/>
      <c r="H17" s="2"/>
      <c r="I17" s="2"/>
      <c r="J17" s="2"/>
      <c r="K17" s="2"/>
      <c r="L17" s="2"/>
      <c r="M17" s="2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</row>
    <row r="18" spans="1:94" ht="15.5" x14ac:dyDescent="0.35">
      <c r="A18" s="11" t="s">
        <v>24</v>
      </c>
      <c r="B18" s="149">
        <v>1724.916666666667</v>
      </c>
      <c r="C18" s="150">
        <v>1710.0833333333333</v>
      </c>
      <c r="D18" s="43">
        <f t="shared" ref="D18:Q18" si="0">SUM(D13:D17)</f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</row>
    <row r="19" spans="1:94" ht="15" x14ac:dyDescent="0.35">
      <c r="A19" s="151"/>
      <c r="B19" s="85"/>
      <c r="C19" s="85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</row>
    <row r="20" spans="1:94" ht="15.5" x14ac:dyDescent="0.35">
      <c r="A20" s="11" t="s">
        <v>25</v>
      </c>
      <c r="B20" s="149">
        <v>1865.8</v>
      </c>
      <c r="C20" s="150">
        <v>1890.6166666666668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</row>
    <row r="21" spans="1:94" ht="15.5" x14ac:dyDescent="0.35">
      <c r="A21" s="11" t="s">
        <v>26</v>
      </c>
      <c r="B21" s="149">
        <v>1586.1666666666667</v>
      </c>
      <c r="C21" s="150">
        <v>1552.1666666666667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</row>
    <row r="22" spans="1:94" ht="15.5" x14ac:dyDescent="0.35">
      <c r="A22" s="11" t="s">
        <v>27</v>
      </c>
      <c r="B22" s="149">
        <v>2729.0166666666664</v>
      </c>
      <c r="C22" s="150">
        <v>2753.7666666666664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</row>
    <row r="23" spans="1:94" ht="15.5" x14ac:dyDescent="0.35">
      <c r="A23" s="11" t="s">
        <v>28</v>
      </c>
      <c r="B23" s="149">
        <v>1579.8833333333332</v>
      </c>
      <c r="C23" s="150">
        <v>1609.3500000000001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</row>
    <row r="24" spans="1:94" ht="15.5" x14ac:dyDescent="0.35">
      <c r="A24" s="11" t="s">
        <v>29</v>
      </c>
      <c r="B24" s="149">
        <v>1843.1333333333332</v>
      </c>
      <c r="C24" s="150">
        <v>1817.8333333333333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</row>
    <row r="25" spans="1:94" ht="15.5" x14ac:dyDescent="0.35">
      <c r="A25" s="11" t="s">
        <v>30</v>
      </c>
      <c r="B25" s="149">
        <v>9604</v>
      </c>
      <c r="C25" s="150">
        <v>9623.7333333333354</v>
      </c>
      <c r="D25" s="43">
        <f t="shared" ref="D25:Q25" si="1">SUM(D20:D24)</f>
        <v>0</v>
      </c>
      <c r="E25" s="43">
        <f t="shared" si="1"/>
        <v>0</v>
      </c>
      <c r="F25" s="43">
        <f t="shared" si="1"/>
        <v>0</v>
      </c>
      <c r="G25" s="43">
        <f t="shared" si="1"/>
        <v>0</v>
      </c>
      <c r="H25" s="43">
        <f t="shared" si="1"/>
        <v>0</v>
      </c>
      <c r="I25" s="43">
        <f t="shared" si="1"/>
        <v>0</v>
      </c>
      <c r="J25" s="43">
        <f t="shared" si="1"/>
        <v>0</v>
      </c>
      <c r="K25" s="43">
        <f t="shared" si="1"/>
        <v>0</v>
      </c>
      <c r="L25" s="43">
        <f t="shared" si="1"/>
        <v>0</v>
      </c>
      <c r="M25" s="43">
        <f t="shared" si="1"/>
        <v>0</v>
      </c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</row>
    <row r="26" spans="1:94" ht="15" x14ac:dyDescent="0.35">
      <c r="A26" s="151"/>
      <c r="B26" s="85"/>
      <c r="C26" s="85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</row>
    <row r="27" spans="1:94" ht="15.5" x14ac:dyDescent="0.35">
      <c r="A27" s="11" t="s">
        <v>31</v>
      </c>
      <c r="B27" s="149">
        <v>11328.916666666666</v>
      </c>
      <c r="C27" s="150">
        <v>11333.816666666666</v>
      </c>
      <c r="D27" s="139">
        <f t="shared" ref="D27:Q27" si="2">D25+D18</f>
        <v>0</v>
      </c>
      <c r="E27" s="139">
        <f t="shared" si="2"/>
        <v>0</v>
      </c>
      <c r="F27" s="139">
        <f t="shared" si="2"/>
        <v>0</v>
      </c>
      <c r="G27" s="139">
        <f t="shared" si="2"/>
        <v>0</v>
      </c>
      <c r="H27" s="139">
        <f t="shared" si="2"/>
        <v>0</v>
      </c>
      <c r="I27" s="139">
        <f t="shared" si="2"/>
        <v>0</v>
      </c>
      <c r="J27" s="139">
        <f t="shared" si="2"/>
        <v>0</v>
      </c>
      <c r="K27" s="139">
        <f t="shared" si="2"/>
        <v>0</v>
      </c>
      <c r="L27" s="139">
        <f t="shared" si="2"/>
        <v>0</v>
      </c>
      <c r="M27" s="139">
        <f t="shared" si="2"/>
        <v>0</v>
      </c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</row>
    <row r="28" spans="1:94" ht="15" x14ac:dyDescent="0.35">
      <c r="A28" s="11" t="s">
        <v>32</v>
      </c>
      <c r="B28" s="85"/>
      <c r="C28" s="85"/>
      <c r="D28" s="139">
        <f t="shared" ref="D28:Q28" si="3">18.4*D25</f>
        <v>0</v>
      </c>
      <c r="E28" s="139">
        <f t="shared" si="3"/>
        <v>0</v>
      </c>
      <c r="F28" s="139">
        <f t="shared" si="3"/>
        <v>0</v>
      </c>
      <c r="G28" s="139">
        <f t="shared" si="3"/>
        <v>0</v>
      </c>
      <c r="H28" s="139">
        <f t="shared" si="3"/>
        <v>0</v>
      </c>
      <c r="I28" s="139">
        <f t="shared" si="3"/>
        <v>0</v>
      </c>
      <c r="J28" s="139">
        <f t="shared" si="3"/>
        <v>0</v>
      </c>
      <c r="K28" s="139">
        <f t="shared" si="3"/>
        <v>0</v>
      </c>
      <c r="L28" s="139">
        <f t="shared" si="3"/>
        <v>0</v>
      </c>
      <c r="M28" s="139">
        <f t="shared" si="3"/>
        <v>0</v>
      </c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</row>
    <row r="29" spans="1:94" ht="20.5" x14ac:dyDescent="0.35">
      <c r="A29" s="152" t="s">
        <v>33</v>
      </c>
      <c r="B29" s="153">
        <v>0.3749227722681463</v>
      </c>
      <c r="C29" s="154">
        <v>0.3761873532607769</v>
      </c>
      <c r="D29" s="140" t="e">
        <f t="shared" ref="D29:Q29" si="4">(((D28/D27)-8.1)/20)</f>
        <v>#DIV/0!</v>
      </c>
      <c r="E29" s="140" t="e">
        <f t="shared" si="4"/>
        <v>#DIV/0!</v>
      </c>
      <c r="F29" s="140" t="e">
        <f t="shared" si="4"/>
        <v>#DIV/0!</v>
      </c>
      <c r="G29" s="140" t="e">
        <f t="shared" si="4"/>
        <v>#DIV/0!</v>
      </c>
      <c r="H29" s="140" t="e">
        <f t="shared" si="4"/>
        <v>#DIV/0!</v>
      </c>
      <c r="I29" s="140" t="e">
        <f t="shared" si="4"/>
        <v>#DIV/0!</v>
      </c>
      <c r="J29" s="140" t="e">
        <f t="shared" si="4"/>
        <v>#DIV/0!</v>
      </c>
      <c r="K29" s="140" t="e">
        <f t="shared" si="4"/>
        <v>#DIV/0!</v>
      </c>
      <c r="L29" s="140" t="e">
        <f>(((L28/L27)-8.1)/20)</f>
        <v>#DIV/0!</v>
      </c>
      <c r="M29" s="140" t="e">
        <f t="shared" si="4"/>
        <v>#DIV/0!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</row>
    <row r="30" spans="1:94" x14ac:dyDescent="0.35">
      <c r="A30" s="155"/>
      <c r="B30" s="85"/>
      <c r="C30" s="85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</row>
    <row r="31" spans="1:94" ht="15.5" x14ac:dyDescent="0.35">
      <c r="A31" s="11" t="s">
        <v>34</v>
      </c>
      <c r="B31" s="149">
        <v>2206.1000000000004</v>
      </c>
      <c r="C31" s="150">
        <v>2210.2166666666667</v>
      </c>
      <c r="D31" s="64">
        <f t="shared" ref="D31:Q31" si="5">D13+D20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</row>
    <row r="32" spans="1:94" ht="15.5" x14ac:dyDescent="0.35">
      <c r="A32" s="11" t="s">
        <v>35</v>
      </c>
      <c r="B32" s="149">
        <v>1840.5</v>
      </c>
      <c r="C32" s="150">
        <v>1823.6666666666667</v>
      </c>
      <c r="D32" s="64">
        <f t="shared" ref="D32:Q32" si="6">D14+D21</f>
        <v>0</v>
      </c>
      <c r="E32" s="64">
        <f t="shared" si="6"/>
        <v>0</v>
      </c>
      <c r="F32" s="64">
        <f t="shared" si="6"/>
        <v>0</v>
      </c>
      <c r="G32" s="64">
        <f t="shared" si="6"/>
        <v>0</v>
      </c>
      <c r="H32" s="64">
        <f t="shared" si="6"/>
        <v>0</v>
      </c>
      <c r="I32" s="64">
        <f t="shared" si="6"/>
        <v>0</v>
      </c>
      <c r="J32" s="64">
        <f t="shared" si="6"/>
        <v>0</v>
      </c>
      <c r="K32" s="64">
        <f t="shared" si="6"/>
        <v>0</v>
      </c>
      <c r="L32" s="64">
        <f t="shared" si="6"/>
        <v>0</v>
      </c>
      <c r="M32" s="64">
        <f t="shared" si="6"/>
        <v>0</v>
      </c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</row>
    <row r="33" spans="1:94" ht="15.5" x14ac:dyDescent="0.35">
      <c r="A33" s="11" t="s">
        <v>36</v>
      </c>
      <c r="B33" s="149">
        <v>3246.4333333333329</v>
      </c>
      <c r="C33" s="150">
        <v>3239.2166666666667</v>
      </c>
      <c r="D33" s="64">
        <f t="shared" ref="D33:Q33" si="7">D15+D22</f>
        <v>0</v>
      </c>
      <c r="E33" s="64">
        <f t="shared" si="7"/>
        <v>0</v>
      </c>
      <c r="F33" s="64">
        <f t="shared" si="7"/>
        <v>0</v>
      </c>
      <c r="G33" s="64">
        <f t="shared" si="7"/>
        <v>0</v>
      </c>
      <c r="H33" s="64">
        <f t="shared" si="7"/>
        <v>0</v>
      </c>
      <c r="I33" s="64">
        <f t="shared" si="7"/>
        <v>0</v>
      </c>
      <c r="J33" s="64">
        <f t="shared" si="7"/>
        <v>0</v>
      </c>
      <c r="K33" s="64">
        <f t="shared" si="7"/>
        <v>0</v>
      </c>
      <c r="L33" s="64">
        <f t="shared" si="7"/>
        <v>0</v>
      </c>
      <c r="M33" s="64">
        <f t="shared" si="7"/>
        <v>0</v>
      </c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</row>
    <row r="34" spans="1:94" ht="15.5" x14ac:dyDescent="0.35">
      <c r="A34" s="11" t="s">
        <v>37</v>
      </c>
      <c r="B34" s="149">
        <v>1867.05</v>
      </c>
      <c r="C34" s="150">
        <v>1897.0166666666671</v>
      </c>
      <c r="D34" s="64">
        <f t="shared" ref="D34:Q34" si="8">D16+D23</f>
        <v>0</v>
      </c>
      <c r="E34" s="64">
        <f t="shared" si="8"/>
        <v>0</v>
      </c>
      <c r="F34" s="64">
        <f t="shared" si="8"/>
        <v>0</v>
      </c>
      <c r="G34" s="64">
        <f t="shared" si="8"/>
        <v>0</v>
      </c>
      <c r="H34" s="64">
        <f t="shared" si="8"/>
        <v>0</v>
      </c>
      <c r="I34" s="64">
        <f t="shared" si="8"/>
        <v>0</v>
      </c>
      <c r="J34" s="64">
        <f t="shared" si="8"/>
        <v>0</v>
      </c>
      <c r="K34" s="64">
        <f t="shared" si="8"/>
        <v>0</v>
      </c>
      <c r="L34" s="64">
        <f t="shared" si="8"/>
        <v>0</v>
      </c>
      <c r="M34" s="64">
        <f t="shared" si="8"/>
        <v>0</v>
      </c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</row>
    <row r="35" spans="1:94" ht="15.5" x14ac:dyDescent="0.35">
      <c r="A35" s="11" t="s">
        <v>38</v>
      </c>
      <c r="B35" s="149">
        <v>2168.8333333333335</v>
      </c>
      <c r="C35" s="150">
        <v>2163.7000000000003</v>
      </c>
      <c r="D35" s="64">
        <f t="shared" ref="D35:Q35" si="9">D17+D24</f>
        <v>0</v>
      </c>
      <c r="E35" s="64">
        <f t="shared" si="9"/>
        <v>0</v>
      </c>
      <c r="F35" s="64">
        <f t="shared" si="9"/>
        <v>0</v>
      </c>
      <c r="G35" s="64">
        <f t="shared" si="9"/>
        <v>0</v>
      </c>
      <c r="H35" s="64">
        <f t="shared" si="9"/>
        <v>0</v>
      </c>
      <c r="I35" s="64">
        <f t="shared" si="9"/>
        <v>0</v>
      </c>
      <c r="J35" s="64">
        <f t="shared" si="9"/>
        <v>0</v>
      </c>
      <c r="K35" s="64">
        <f t="shared" si="9"/>
        <v>0</v>
      </c>
      <c r="L35" s="64">
        <f t="shared" si="9"/>
        <v>0</v>
      </c>
      <c r="M35" s="64">
        <f t="shared" si="9"/>
        <v>0</v>
      </c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</row>
    <row r="36" spans="1:94" x14ac:dyDescent="0.35">
      <c r="A36" s="155"/>
      <c r="B36" s="85"/>
      <c r="C36" s="85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</row>
    <row r="37" spans="1:94" ht="15" x14ac:dyDescent="0.35">
      <c r="A37" s="11" t="s">
        <v>39</v>
      </c>
      <c r="B37" s="64">
        <f t="shared" ref="B37:Q37" si="10">18.4*B20</f>
        <v>34330.719999999994</v>
      </c>
      <c r="C37" s="64">
        <f>18.4*C20</f>
        <v>34787.346666666665</v>
      </c>
      <c r="D37" s="64">
        <f t="shared" si="10"/>
        <v>0</v>
      </c>
      <c r="E37" s="64">
        <f t="shared" si="10"/>
        <v>0</v>
      </c>
      <c r="F37" s="64">
        <f t="shared" si="10"/>
        <v>0</v>
      </c>
      <c r="G37" s="64">
        <f t="shared" si="10"/>
        <v>0</v>
      </c>
      <c r="H37" s="64">
        <f t="shared" si="10"/>
        <v>0</v>
      </c>
      <c r="I37" s="64">
        <f t="shared" si="10"/>
        <v>0</v>
      </c>
      <c r="J37" s="64">
        <f t="shared" si="10"/>
        <v>0</v>
      </c>
      <c r="K37" s="64">
        <f t="shared" si="10"/>
        <v>0</v>
      </c>
      <c r="L37" s="64">
        <f t="shared" si="10"/>
        <v>0</v>
      </c>
      <c r="M37" s="64">
        <f t="shared" si="10"/>
        <v>0</v>
      </c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</row>
    <row r="38" spans="1:94" ht="15" x14ac:dyDescent="0.35">
      <c r="A38" s="11" t="s">
        <v>40</v>
      </c>
      <c r="B38" s="64">
        <f t="shared" ref="B38:C38" si="11">18.4*B21</f>
        <v>29185.466666666667</v>
      </c>
      <c r="C38" s="64">
        <f t="shared" si="11"/>
        <v>28559.866666666665</v>
      </c>
      <c r="D38" s="64">
        <f t="shared" ref="D38:Q38" si="12">18.4*D21</f>
        <v>0</v>
      </c>
      <c r="E38" s="64">
        <f t="shared" si="12"/>
        <v>0</v>
      </c>
      <c r="F38" s="64">
        <f t="shared" si="12"/>
        <v>0</v>
      </c>
      <c r="G38" s="64">
        <f t="shared" si="12"/>
        <v>0</v>
      </c>
      <c r="H38" s="64">
        <f t="shared" si="12"/>
        <v>0</v>
      </c>
      <c r="I38" s="64">
        <f t="shared" si="12"/>
        <v>0</v>
      </c>
      <c r="J38" s="64">
        <f t="shared" si="12"/>
        <v>0</v>
      </c>
      <c r="K38" s="64">
        <f t="shared" si="12"/>
        <v>0</v>
      </c>
      <c r="L38" s="64">
        <f t="shared" si="12"/>
        <v>0</v>
      </c>
      <c r="M38" s="64">
        <f t="shared" si="12"/>
        <v>0</v>
      </c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</row>
    <row r="39" spans="1:94" ht="15" x14ac:dyDescent="0.35">
      <c r="A39" s="11" t="s">
        <v>41</v>
      </c>
      <c r="B39" s="64">
        <f t="shared" ref="B39:C39" si="13">18.4*B22</f>
        <v>50213.906666666655</v>
      </c>
      <c r="C39" s="64">
        <f t="shared" si="13"/>
        <v>50669.306666666656</v>
      </c>
      <c r="D39" s="64">
        <f t="shared" ref="D39:Q39" si="14">18.4*D22</f>
        <v>0</v>
      </c>
      <c r="E39" s="64">
        <f t="shared" si="14"/>
        <v>0</v>
      </c>
      <c r="F39" s="64">
        <f t="shared" si="14"/>
        <v>0</v>
      </c>
      <c r="G39" s="64">
        <f t="shared" si="14"/>
        <v>0</v>
      </c>
      <c r="H39" s="64">
        <f t="shared" si="14"/>
        <v>0</v>
      </c>
      <c r="I39" s="64">
        <f t="shared" si="14"/>
        <v>0</v>
      </c>
      <c r="J39" s="64">
        <f t="shared" si="14"/>
        <v>0</v>
      </c>
      <c r="K39" s="64">
        <f t="shared" si="14"/>
        <v>0</v>
      </c>
      <c r="L39" s="64">
        <f t="shared" si="14"/>
        <v>0</v>
      </c>
      <c r="M39" s="64">
        <f t="shared" si="14"/>
        <v>0</v>
      </c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</row>
    <row r="40" spans="1:94" ht="15" x14ac:dyDescent="0.35">
      <c r="A40" s="11" t="s">
        <v>42</v>
      </c>
      <c r="B40" s="64">
        <f t="shared" ref="B40:C40" si="15">18.4*B23</f>
        <v>29069.853333333329</v>
      </c>
      <c r="C40" s="64">
        <f t="shared" si="15"/>
        <v>29612.04</v>
      </c>
      <c r="D40" s="64">
        <f t="shared" ref="D40:Q40" si="16">18.4*D23</f>
        <v>0</v>
      </c>
      <c r="E40" s="64">
        <f t="shared" si="16"/>
        <v>0</v>
      </c>
      <c r="F40" s="64">
        <f t="shared" si="16"/>
        <v>0</v>
      </c>
      <c r="G40" s="64">
        <f t="shared" si="16"/>
        <v>0</v>
      </c>
      <c r="H40" s="64">
        <f t="shared" si="16"/>
        <v>0</v>
      </c>
      <c r="I40" s="64">
        <f t="shared" si="16"/>
        <v>0</v>
      </c>
      <c r="J40" s="64">
        <f t="shared" si="16"/>
        <v>0</v>
      </c>
      <c r="K40" s="64">
        <f t="shared" si="16"/>
        <v>0</v>
      </c>
      <c r="L40" s="64">
        <f t="shared" si="16"/>
        <v>0</v>
      </c>
      <c r="M40" s="64">
        <f t="shared" si="16"/>
        <v>0</v>
      </c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</row>
    <row r="41" spans="1:94" ht="15" x14ac:dyDescent="0.35">
      <c r="A41" s="11" t="s">
        <v>43</v>
      </c>
      <c r="B41" s="64">
        <f t="shared" ref="B41:C41" si="17">18.4*B24</f>
        <v>33913.653333333328</v>
      </c>
      <c r="C41" s="64">
        <f t="shared" si="17"/>
        <v>33448.133333333331</v>
      </c>
      <c r="D41" s="64">
        <f t="shared" ref="D41:Q41" si="18">18.4*D24</f>
        <v>0</v>
      </c>
      <c r="E41" s="64">
        <f t="shared" si="18"/>
        <v>0</v>
      </c>
      <c r="F41" s="64">
        <f t="shared" si="18"/>
        <v>0</v>
      </c>
      <c r="G41" s="64">
        <f t="shared" si="18"/>
        <v>0</v>
      </c>
      <c r="H41" s="64">
        <f t="shared" si="18"/>
        <v>0</v>
      </c>
      <c r="I41" s="64">
        <f t="shared" si="18"/>
        <v>0</v>
      </c>
      <c r="J41" s="64">
        <f t="shared" si="18"/>
        <v>0</v>
      </c>
      <c r="K41" s="64">
        <f t="shared" si="18"/>
        <v>0</v>
      </c>
      <c r="L41" s="64">
        <f t="shared" si="18"/>
        <v>0</v>
      </c>
      <c r="M41" s="64">
        <f t="shared" si="18"/>
        <v>0</v>
      </c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</row>
    <row r="42" spans="1:94" x14ac:dyDescent="0.35">
      <c r="A42" s="155"/>
      <c r="B42" s="85"/>
      <c r="C42" s="85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</row>
    <row r="43" spans="1:94" ht="15.5" x14ac:dyDescent="0.35">
      <c r="A43" s="11" t="s">
        <v>44</v>
      </c>
      <c r="B43" s="156">
        <v>37.301915883995484</v>
      </c>
      <c r="C43" s="157">
        <v>38.194809796359692</v>
      </c>
      <c r="D43" s="23" t="e">
        <f t="shared" ref="D43:Q43" si="19">(D37/D31-8.1)/20*100</f>
        <v>#DIV/0!</v>
      </c>
      <c r="E43" s="23" t="e">
        <f t="shared" si="19"/>
        <v>#DIV/0!</v>
      </c>
      <c r="F43" s="23" t="e">
        <f t="shared" si="19"/>
        <v>#DIV/0!</v>
      </c>
      <c r="G43" s="23" t="e">
        <f t="shared" si="19"/>
        <v>#DIV/0!</v>
      </c>
      <c r="H43" s="23" t="e">
        <f t="shared" si="19"/>
        <v>#DIV/0!</v>
      </c>
      <c r="I43" s="23" t="e">
        <f t="shared" si="19"/>
        <v>#DIV/0!</v>
      </c>
      <c r="J43" s="23" t="e">
        <f t="shared" si="19"/>
        <v>#DIV/0!</v>
      </c>
      <c r="K43" s="23" t="e">
        <f t="shared" si="19"/>
        <v>#DIV/0!</v>
      </c>
      <c r="L43" s="23" t="e">
        <f t="shared" si="19"/>
        <v>#DIV/0!</v>
      </c>
      <c r="M43" s="23" t="e">
        <f t="shared" si="19"/>
        <v>#DIV/0!</v>
      </c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</row>
    <row r="44" spans="1:94" ht="15.5" x14ac:dyDescent="0.35">
      <c r="A44" s="11" t="s">
        <v>45</v>
      </c>
      <c r="B44" s="156">
        <v>38.777920904125502</v>
      </c>
      <c r="C44" s="157">
        <v>37.81021541076182</v>
      </c>
      <c r="D44" s="23" t="e">
        <f t="shared" ref="D44:Q44" si="20">(D38/D32-8.1)/20*100</f>
        <v>#DIV/0!</v>
      </c>
      <c r="E44" s="23" t="e">
        <f t="shared" si="20"/>
        <v>#DIV/0!</v>
      </c>
      <c r="F44" s="23" t="e">
        <f t="shared" si="20"/>
        <v>#DIV/0!</v>
      </c>
      <c r="G44" s="23" t="e">
        <f t="shared" si="20"/>
        <v>#DIV/0!</v>
      </c>
      <c r="H44" s="23" t="e">
        <f t="shared" si="20"/>
        <v>#DIV/0!</v>
      </c>
      <c r="I44" s="23" t="e">
        <f t="shared" si="20"/>
        <v>#DIV/0!</v>
      </c>
      <c r="J44" s="23" t="e">
        <f t="shared" si="20"/>
        <v>#DIV/0!</v>
      </c>
      <c r="K44" s="23" t="e">
        <f t="shared" si="20"/>
        <v>#DIV/0!</v>
      </c>
      <c r="L44" s="23" t="e">
        <f t="shared" si="20"/>
        <v>#DIV/0!</v>
      </c>
      <c r="M44" s="23" t="e">
        <f t="shared" si="20"/>
        <v>#DIV/0!</v>
      </c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</row>
    <row r="45" spans="1:94" ht="15.5" x14ac:dyDescent="0.35">
      <c r="A45" s="11" t="s">
        <v>46</v>
      </c>
      <c r="B45" s="156">
        <v>36.838806681283806</v>
      </c>
      <c r="C45" s="157">
        <v>37.715631034205423</v>
      </c>
      <c r="D45" s="23" t="e">
        <f t="shared" ref="D45:Q45" si="21">(D39/D33-8.1)/20*100</f>
        <v>#DIV/0!</v>
      </c>
      <c r="E45" s="23" t="e">
        <f t="shared" si="21"/>
        <v>#DIV/0!</v>
      </c>
      <c r="F45" s="23" t="e">
        <f t="shared" si="21"/>
        <v>#DIV/0!</v>
      </c>
      <c r="G45" s="23" t="e">
        <f t="shared" si="21"/>
        <v>#DIV/0!</v>
      </c>
      <c r="H45" s="23" t="e">
        <f t="shared" si="21"/>
        <v>#DIV/0!</v>
      </c>
      <c r="I45" s="23" t="e">
        <f t="shared" si="21"/>
        <v>#DIV/0!</v>
      </c>
      <c r="J45" s="23" t="e">
        <f t="shared" si="21"/>
        <v>#DIV/0!</v>
      </c>
      <c r="K45" s="23" t="e">
        <f t="shared" si="21"/>
        <v>#DIV/0!</v>
      </c>
      <c r="L45" s="23" t="e">
        <f t="shared" si="21"/>
        <v>#DIV/0!</v>
      </c>
      <c r="M45" s="23" t="e">
        <f t="shared" si="21"/>
        <v>#DIV/0!</v>
      </c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</row>
    <row r="46" spans="1:94" ht="15.5" x14ac:dyDescent="0.35">
      <c r="A46" s="11" t="s">
        <v>47</v>
      </c>
      <c r="B46" s="156">
        <v>37.35489738409877</v>
      </c>
      <c r="C46" s="157">
        <v>37.553517379048962</v>
      </c>
      <c r="D46" s="23" t="e">
        <f t="shared" ref="D46:Q46" si="22">(D40/D34-8.1)/20*100</f>
        <v>#DIV/0!</v>
      </c>
      <c r="E46" s="23" t="e">
        <f t="shared" si="22"/>
        <v>#DIV/0!</v>
      </c>
      <c r="F46" s="23" t="e">
        <f t="shared" si="22"/>
        <v>#DIV/0!</v>
      </c>
      <c r="G46" s="23" t="e">
        <f t="shared" si="22"/>
        <v>#DIV/0!</v>
      </c>
      <c r="H46" s="23" t="e">
        <f t="shared" si="22"/>
        <v>#DIV/0!</v>
      </c>
      <c r="I46" s="23" t="e">
        <f t="shared" si="22"/>
        <v>#DIV/0!</v>
      </c>
      <c r="J46" s="23" t="e">
        <f t="shared" si="22"/>
        <v>#DIV/0!</v>
      </c>
      <c r="K46" s="23" t="e">
        <f t="shared" si="22"/>
        <v>#DIV/0!</v>
      </c>
      <c r="L46" s="23" t="e">
        <f t="shared" si="22"/>
        <v>#DIV/0!</v>
      </c>
      <c r="M46" s="23" t="e">
        <f t="shared" si="22"/>
        <v>#DIV/0!</v>
      </c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</row>
    <row r="47" spans="1:94" ht="15.5" x14ac:dyDescent="0.35">
      <c r="A47" s="11" t="s">
        <v>48</v>
      </c>
      <c r="B47" s="156">
        <v>37.6840779746965</v>
      </c>
      <c r="C47" s="157">
        <v>36.795987606569504</v>
      </c>
      <c r="D47" s="23" t="e">
        <f t="shared" ref="D47:Q47" si="23">(D41/D35-8.1)/20*100</f>
        <v>#DIV/0!</v>
      </c>
      <c r="E47" s="23" t="e">
        <f t="shared" si="23"/>
        <v>#DIV/0!</v>
      </c>
      <c r="F47" s="23" t="e">
        <f t="shared" si="23"/>
        <v>#DIV/0!</v>
      </c>
      <c r="G47" s="23" t="e">
        <f t="shared" si="23"/>
        <v>#DIV/0!</v>
      </c>
      <c r="H47" s="23" t="e">
        <f t="shared" si="23"/>
        <v>#DIV/0!</v>
      </c>
      <c r="I47" s="23" t="e">
        <f t="shared" si="23"/>
        <v>#DIV/0!</v>
      </c>
      <c r="J47" s="23" t="e">
        <f t="shared" si="23"/>
        <v>#DIV/0!</v>
      </c>
      <c r="K47" s="23" t="e">
        <f t="shared" si="23"/>
        <v>#DIV/0!</v>
      </c>
      <c r="L47" s="23" t="e">
        <f t="shared" si="23"/>
        <v>#DIV/0!</v>
      </c>
      <c r="M47" s="23" t="e">
        <f t="shared" si="23"/>
        <v>#DIV/0!</v>
      </c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</row>
    <row r="48" spans="1:94" x14ac:dyDescent="0.35">
      <c r="A48" s="155"/>
      <c r="B48" s="158"/>
      <c r="C48" s="158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</row>
    <row r="49" spans="1:94" ht="15" x14ac:dyDescent="0.35">
      <c r="A49" s="11" t="s">
        <v>49</v>
      </c>
      <c r="B49" s="158"/>
      <c r="C49" s="158"/>
      <c r="D49" s="23">
        <f t="shared" ref="D49:Q49" si="24">-(D13*2+D14)+D17*2+D16</f>
        <v>0</v>
      </c>
      <c r="E49" s="23">
        <f t="shared" si="24"/>
        <v>0</v>
      </c>
      <c r="F49" s="23">
        <f t="shared" si="24"/>
        <v>0</v>
      </c>
      <c r="G49" s="23">
        <f t="shared" si="24"/>
        <v>0</v>
      </c>
      <c r="H49" s="23">
        <f t="shared" si="24"/>
        <v>0</v>
      </c>
      <c r="I49" s="23">
        <f t="shared" si="24"/>
        <v>0</v>
      </c>
      <c r="J49" s="23">
        <f t="shared" si="24"/>
        <v>0</v>
      </c>
      <c r="K49" s="23">
        <f t="shared" si="24"/>
        <v>0</v>
      </c>
      <c r="L49" s="23">
        <f t="shared" si="24"/>
        <v>0</v>
      </c>
      <c r="M49" s="23">
        <f t="shared" si="24"/>
        <v>0</v>
      </c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</row>
    <row r="50" spans="1:94" ht="15" x14ac:dyDescent="0.35">
      <c r="A50" s="11" t="s">
        <v>50</v>
      </c>
      <c r="B50" s="158"/>
      <c r="C50" s="158"/>
      <c r="D50" s="23">
        <f t="shared" ref="D50:Q50" si="25">-(D20*2+D21)+D24*2+D23</f>
        <v>0</v>
      </c>
      <c r="E50" s="23">
        <f t="shared" si="25"/>
        <v>0</v>
      </c>
      <c r="F50" s="23">
        <f t="shared" si="25"/>
        <v>0</v>
      </c>
      <c r="G50" s="23">
        <f t="shared" si="25"/>
        <v>0</v>
      </c>
      <c r="H50" s="23">
        <f t="shared" si="25"/>
        <v>0</v>
      </c>
      <c r="I50" s="23">
        <f t="shared" si="25"/>
        <v>0</v>
      </c>
      <c r="J50" s="23">
        <f t="shared" si="25"/>
        <v>0</v>
      </c>
      <c r="K50" s="23">
        <f t="shared" si="25"/>
        <v>0</v>
      </c>
      <c r="L50" s="23">
        <f t="shared" si="25"/>
        <v>0</v>
      </c>
      <c r="M50" s="23">
        <f t="shared" si="25"/>
        <v>0</v>
      </c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</row>
    <row r="51" spans="1:94" ht="15.5" x14ac:dyDescent="0.35">
      <c r="A51" s="11" t="s">
        <v>51</v>
      </c>
      <c r="B51" s="156">
        <v>-2.1177400361488158E-2</v>
      </c>
      <c r="C51" s="157">
        <v>-8.6834717159389695E-3</v>
      </c>
      <c r="D51" s="142" t="e">
        <f t="shared" ref="D51:Q51" si="26">(D49+D50)/D27/0.2</f>
        <v>#DIV/0!</v>
      </c>
      <c r="E51" s="142" t="e">
        <f t="shared" si="26"/>
        <v>#DIV/0!</v>
      </c>
      <c r="F51" s="142" t="e">
        <f t="shared" si="26"/>
        <v>#DIV/0!</v>
      </c>
      <c r="G51" s="142" t="e">
        <f t="shared" si="26"/>
        <v>#DIV/0!</v>
      </c>
      <c r="H51" s="142" t="e">
        <f t="shared" si="26"/>
        <v>#DIV/0!</v>
      </c>
      <c r="I51" s="142" t="e">
        <f t="shared" si="26"/>
        <v>#DIV/0!</v>
      </c>
      <c r="J51" s="142" t="e">
        <f t="shared" si="26"/>
        <v>#DIV/0!</v>
      </c>
      <c r="K51" s="142" t="e">
        <f t="shared" si="26"/>
        <v>#DIV/0!</v>
      </c>
      <c r="L51" s="142" t="e">
        <f t="shared" si="26"/>
        <v>#DIV/0!</v>
      </c>
      <c r="M51" s="142" t="e">
        <f t="shared" si="26"/>
        <v>#DIV/0!</v>
      </c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CA51" s="108"/>
      <c r="CB51" s="108"/>
      <c r="CC51" s="108"/>
      <c r="CD51" s="108"/>
      <c r="CE51" s="108"/>
      <c r="CF51" s="108"/>
      <c r="CG51" s="108"/>
      <c r="CH51" s="108"/>
      <c r="CI51" s="108"/>
      <c r="CJ51" s="108"/>
      <c r="CK51" s="108"/>
      <c r="CL51" s="108"/>
      <c r="CM51" s="108"/>
      <c r="CN51" s="108"/>
      <c r="CO51" s="108"/>
      <c r="CP51" s="108"/>
    </row>
    <row r="52" spans="1:94" x14ac:dyDescent="0.35"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  <c r="CB52" s="108"/>
      <c r="CC52" s="108"/>
      <c r="CD52" s="108"/>
      <c r="CE52" s="108"/>
      <c r="CF52" s="108"/>
      <c r="CG52" s="108"/>
      <c r="CH52" s="108"/>
      <c r="CI52" s="108"/>
      <c r="CJ52" s="108"/>
      <c r="CK52" s="108"/>
      <c r="CL52" s="108"/>
      <c r="CM52" s="108"/>
      <c r="CN52" s="108"/>
      <c r="CO52" s="108"/>
      <c r="CP52" s="108"/>
    </row>
    <row r="53" spans="1:94" x14ac:dyDescent="0.35"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</row>
    <row r="54" spans="1:94" x14ac:dyDescent="0.35"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</row>
    <row r="55" spans="1:94" x14ac:dyDescent="0.35"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</row>
    <row r="56" spans="1:94" x14ac:dyDescent="0.35"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  <c r="CB56" s="108"/>
      <c r="CC56" s="108"/>
      <c r="CD56" s="108"/>
      <c r="CE56" s="108"/>
      <c r="CF56" s="108"/>
      <c r="CG56" s="108"/>
      <c r="CH56" s="108"/>
      <c r="CI56" s="108"/>
      <c r="CJ56" s="108"/>
      <c r="CK56" s="108"/>
      <c r="CL56" s="108"/>
      <c r="CM56" s="108"/>
      <c r="CN56" s="108"/>
      <c r="CO56" s="108"/>
      <c r="CP56" s="108"/>
    </row>
  </sheetData>
  <mergeCells count="9">
    <mergeCell ref="AW4:BF4"/>
    <mergeCell ref="AB4:AG4"/>
    <mergeCell ref="AH4:AK4"/>
    <mergeCell ref="AL4:AU4"/>
    <mergeCell ref="D4:K4"/>
    <mergeCell ref="R4:V4"/>
    <mergeCell ref="W4:Z4"/>
    <mergeCell ref="AW6:BG6"/>
    <mergeCell ref="D6:M6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2FF7-9377-42CE-B5E8-2233DAF1EAF9}">
  <dimension ref="A1:BI46"/>
  <sheetViews>
    <sheetView tabSelected="1" workbookViewId="0">
      <selection activeCell="R43" sqref="R43"/>
    </sheetView>
  </sheetViews>
  <sheetFormatPr defaultRowHeight="14.5" x14ac:dyDescent="0.35"/>
  <cols>
    <col min="6" max="15" width="8.90625" bestFit="1" customWidth="1"/>
    <col min="16" max="21" width="9" bestFit="1" customWidth="1"/>
    <col min="32" max="44" width="9" bestFit="1" customWidth="1"/>
    <col min="50" max="50" width="10" bestFit="1" customWidth="1"/>
  </cols>
  <sheetData>
    <row r="1" spans="1:61" ht="15" thickBot="1" x14ac:dyDescent="0.4">
      <c r="A1" s="101" t="s">
        <v>52</v>
      </c>
      <c r="B1" s="101"/>
      <c r="C1" s="101"/>
      <c r="D1" s="101"/>
      <c r="E1" s="101"/>
      <c r="F1" s="101" t="s">
        <v>53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>
        <v>43579</v>
      </c>
      <c r="W1" s="103"/>
      <c r="X1" s="103"/>
      <c r="Y1" s="103"/>
      <c r="Z1" s="103"/>
      <c r="AA1" s="103"/>
      <c r="AB1" s="102">
        <v>43580</v>
      </c>
      <c r="AC1" s="103"/>
      <c r="AD1" s="103"/>
      <c r="AE1" s="103"/>
      <c r="AF1" s="104" t="s">
        <v>54</v>
      </c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 t="s">
        <v>55</v>
      </c>
      <c r="AT1" s="100"/>
      <c r="AU1" s="100"/>
      <c r="AV1" s="100"/>
      <c r="AW1" s="100"/>
      <c r="AX1" s="100"/>
      <c r="AY1" s="100"/>
      <c r="AZ1" s="100"/>
      <c r="BA1" s="100"/>
      <c r="BB1" s="100"/>
    </row>
    <row r="2" spans="1:61" ht="15.5" x14ac:dyDescent="0.35">
      <c r="A2" s="25">
        <v>400.1</v>
      </c>
      <c r="B2" s="25">
        <v>458.8</v>
      </c>
      <c r="C2" s="25">
        <v>418.9</v>
      </c>
      <c r="D2" s="25">
        <v>456.4</v>
      </c>
      <c r="E2" s="25">
        <v>439.5</v>
      </c>
      <c r="F2" s="26">
        <v>339.5</v>
      </c>
      <c r="G2" s="27">
        <v>334.7</v>
      </c>
      <c r="H2" s="27">
        <v>284.89999999999998</v>
      </c>
      <c r="I2" s="27">
        <v>342.5</v>
      </c>
      <c r="J2" s="27">
        <v>353.3</v>
      </c>
      <c r="K2" s="27">
        <v>349.8</v>
      </c>
      <c r="L2" s="27">
        <v>281.39999999999998</v>
      </c>
      <c r="M2" s="27">
        <v>297.8</v>
      </c>
      <c r="N2" s="27">
        <v>322.89999999999998</v>
      </c>
      <c r="O2" s="28">
        <v>387.9</v>
      </c>
      <c r="P2" s="29">
        <v>338.1</v>
      </c>
      <c r="Q2" s="30">
        <v>307.8</v>
      </c>
      <c r="R2" s="30">
        <v>343.5</v>
      </c>
      <c r="S2" s="30">
        <v>363</v>
      </c>
      <c r="T2" s="30">
        <v>373.2</v>
      </c>
      <c r="U2" s="31">
        <v>316.2</v>
      </c>
      <c r="V2">
        <v>437</v>
      </c>
      <c r="W2">
        <v>427.2</v>
      </c>
      <c r="X2">
        <v>449.5</v>
      </c>
      <c r="Y2">
        <v>320.8</v>
      </c>
      <c r="Z2">
        <v>378.9</v>
      </c>
      <c r="AA2">
        <v>353.6</v>
      </c>
      <c r="AB2">
        <v>373.8</v>
      </c>
      <c r="AC2">
        <v>351.1</v>
      </c>
      <c r="AD2">
        <v>338.8</v>
      </c>
      <c r="AE2">
        <v>335.6</v>
      </c>
      <c r="AF2" s="98">
        <v>343.7</v>
      </c>
      <c r="AG2" s="98">
        <v>334.3</v>
      </c>
      <c r="AH2" s="98">
        <v>322.89999999999998</v>
      </c>
      <c r="AI2" s="98">
        <v>328.6</v>
      </c>
      <c r="AJ2" s="98">
        <v>328.2</v>
      </c>
      <c r="AK2" s="98">
        <v>324.3</v>
      </c>
      <c r="AL2" s="98">
        <v>337</v>
      </c>
      <c r="AM2" s="98">
        <v>312.2</v>
      </c>
      <c r="AN2" s="98">
        <v>317</v>
      </c>
      <c r="AO2" s="98">
        <v>334.8</v>
      </c>
      <c r="AP2" s="98">
        <v>349.3</v>
      </c>
      <c r="AQ2" s="98">
        <v>430.2</v>
      </c>
      <c r="AR2" s="98">
        <v>389.5</v>
      </c>
      <c r="AS2" s="98">
        <v>300</v>
      </c>
      <c r="AT2" s="98">
        <v>347.9</v>
      </c>
      <c r="AU2" s="98">
        <v>347.3</v>
      </c>
      <c r="AV2" s="98">
        <v>337.4</v>
      </c>
      <c r="AW2" s="98">
        <v>374.4</v>
      </c>
      <c r="AX2" s="98">
        <v>369.9</v>
      </c>
      <c r="AY2" s="98">
        <v>298.5</v>
      </c>
      <c r="AZ2" s="98">
        <v>330.5</v>
      </c>
      <c r="BA2" s="98">
        <v>327.5</v>
      </c>
      <c r="BB2" s="98">
        <v>313</v>
      </c>
    </row>
    <row r="3" spans="1:61" ht="15.5" x14ac:dyDescent="0.35">
      <c r="A3" s="32">
        <v>197.2</v>
      </c>
      <c r="B3" s="32">
        <v>262.3</v>
      </c>
      <c r="C3" s="32">
        <v>274.5</v>
      </c>
      <c r="D3" s="32">
        <v>171.4</v>
      </c>
      <c r="E3" s="32">
        <v>207.8</v>
      </c>
      <c r="F3" s="33">
        <v>257</v>
      </c>
      <c r="G3" s="34">
        <v>285</v>
      </c>
      <c r="H3" s="34">
        <v>305</v>
      </c>
      <c r="I3" s="34">
        <v>316</v>
      </c>
      <c r="J3" s="34">
        <v>257</v>
      </c>
      <c r="K3" s="34">
        <v>299</v>
      </c>
      <c r="L3" s="34">
        <v>334</v>
      </c>
      <c r="M3" s="34">
        <v>311</v>
      </c>
      <c r="N3" s="34">
        <v>291</v>
      </c>
      <c r="O3" s="35">
        <v>229</v>
      </c>
      <c r="P3" s="36">
        <v>254</v>
      </c>
      <c r="Q3" s="98">
        <v>269</v>
      </c>
      <c r="R3" s="98">
        <v>254</v>
      </c>
      <c r="S3" s="98">
        <v>240</v>
      </c>
      <c r="T3" s="98">
        <v>255</v>
      </c>
      <c r="U3" s="37">
        <v>254</v>
      </c>
      <c r="V3">
        <v>151.19999999999999</v>
      </c>
      <c r="W3">
        <v>144</v>
      </c>
      <c r="X3">
        <v>140.6</v>
      </c>
      <c r="Y3">
        <v>256</v>
      </c>
      <c r="Z3">
        <v>245</v>
      </c>
      <c r="AA3">
        <v>271</v>
      </c>
      <c r="AB3">
        <v>270.60000000000002</v>
      </c>
      <c r="AC3">
        <v>278.8</v>
      </c>
      <c r="AD3">
        <v>286</v>
      </c>
      <c r="AE3">
        <v>288.10000000000002</v>
      </c>
      <c r="AF3" s="98">
        <v>285.10000000000002</v>
      </c>
      <c r="AG3" s="98">
        <v>280.10000000000002</v>
      </c>
      <c r="AH3" s="98">
        <v>247.6</v>
      </c>
      <c r="AI3" s="98">
        <v>295.7</v>
      </c>
      <c r="AJ3" s="98">
        <v>275.10000000000002</v>
      </c>
      <c r="AK3" s="98">
        <v>261</v>
      </c>
      <c r="AL3" s="98">
        <v>270.3</v>
      </c>
      <c r="AM3" s="98">
        <v>306.8</v>
      </c>
      <c r="AN3" s="98">
        <v>272</v>
      </c>
      <c r="AO3" s="98">
        <v>265.60000000000002</v>
      </c>
      <c r="AP3" s="98">
        <v>257.10000000000002</v>
      </c>
      <c r="AQ3" s="98">
        <v>204.8</v>
      </c>
      <c r="AR3" s="98">
        <v>220.6</v>
      </c>
      <c r="AS3" s="98">
        <v>281.39999999999998</v>
      </c>
      <c r="AT3" s="98">
        <v>291.39999999999998</v>
      </c>
      <c r="AU3" s="98">
        <v>275.2</v>
      </c>
      <c r="AV3" s="98">
        <v>267.39999999999998</v>
      </c>
      <c r="AW3" s="98">
        <v>255.5</v>
      </c>
      <c r="AX3" s="98">
        <v>257.2</v>
      </c>
      <c r="AY3" s="98">
        <v>291.7</v>
      </c>
      <c r="AZ3" s="98">
        <v>251.1</v>
      </c>
      <c r="BA3" s="98">
        <v>243.5</v>
      </c>
      <c r="BB3" s="98">
        <v>252.1</v>
      </c>
    </row>
    <row r="4" spans="1:61" ht="15.5" x14ac:dyDescent="0.35">
      <c r="A4" s="32">
        <v>694</v>
      </c>
      <c r="B4" s="32">
        <v>549</v>
      </c>
      <c r="C4" s="32">
        <v>602</v>
      </c>
      <c r="D4" s="32">
        <v>643</v>
      </c>
      <c r="E4" s="32">
        <v>642</v>
      </c>
      <c r="F4" s="33">
        <v>487.8</v>
      </c>
      <c r="G4" s="34">
        <v>500.4</v>
      </c>
      <c r="H4" s="34">
        <v>537</v>
      </c>
      <c r="I4" s="34">
        <v>489.1</v>
      </c>
      <c r="J4" s="34">
        <v>525.4</v>
      </c>
      <c r="K4" s="34">
        <v>456.5</v>
      </c>
      <c r="L4" s="34">
        <v>571.1</v>
      </c>
      <c r="M4" s="34">
        <v>484.4</v>
      </c>
      <c r="N4" s="34">
        <v>482.3</v>
      </c>
      <c r="O4" s="35">
        <v>526.20000000000005</v>
      </c>
      <c r="P4" s="36">
        <v>517</v>
      </c>
      <c r="Q4" s="98">
        <v>551.6</v>
      </c>
      <c r="R4" s="98">
        <v>523.5</v>
      </c>
      <c r="S4" s="98">
        <v>494.9</v>
      </c>
      <c r="T4" s="98">
        <v>494.3</v>
      </c>
      <c r="U4" s="37">
        <v>523.20000000000005</v>
      </c>
      <c r="V4">
        <v>465</v>
      </c>
      <c r="W4">
        <v>519</v>
      </c>
      <c r="X4">
        <v>535</v>
      </c>
      <c r="Y4">
        <v>543</v>
      </c>
      <c r="Z4">
        <v>460</v>
      </c>
      <c r="AA4">
        <v>481</v>
      </c>
      <c r="AB4">
        <v>521</v>
      </c>
      <c r="AC4">
        <v>538</v>
      </c>
      <c r="AD4">
        <v>556</v>
      </c>
      <c r="AE4">
        <v>535</v>
      </c>
      <c r="AF4" s="98">
        <v>464</v>
      </c>
      <c r="AG4" s="98">
        <v>447</v>
      </c>
      <c r="AH4" s="98">
        <v>521</v>
      </c>
      <c r="AI4" s="98">
        <v>499</v>
      </c>
      <c r="AJ4" s="98">
        <v>501</v>
      </c>
      <c r="AK4" s="98">
        <v>521</v>
      </c>
      <c r="AL4" s="98">
        <v>471</v>
      </c>
      <c r="AM4" s="98">
        <v>481</v>
      </c>
      <c r="AN4" s="98">
        <v>496</v>
      </c>
      <c r="AO4" s="98">
        <v>492</v>
      </c>
      <c r="AP4" s="98">
        <v>517</v>
      </c>
      <c r="AQ4" s="98">
        <v>482</v>
      </c>
      <c r="AR4" s="98">
        <v>507</v>
      </c>
      <c r="AS4" s="98">
        <v>497</v>
      </c>
      <c r="AT4" s="98">
        <v>491</v>
      </c>
      <c r="AU4" s="98">
        <v>497</v>
      </c>
      <c r="AV4" s="98">
        <v>547</v>
      </c>
      <c r="AW4" s="98">
        <v>527</v>
      </c>
      <c r="AX4" s="98">
        <v>521</v>
      </c>
      <c r="AY4" s="98">
        <v>529</v>
      </c>
      <c r="AZ4" s="98">
        <v>560</v>
      </c>
      <c r="BA4" s="98">
        <v>587</v>
      </c>
      <c r="BB4" s="98">
        <v>552</v>
      </c>
    </row>
    <row r="5" spans="1:61" ht="15.5" x14ac:dyDescent="0.35">
      <c r="A5" s="32">
        <v>448</v>
      </c>
      <c r="B5" s="32">
        <v>489</v>
      </c>
      <c r="C5" s="32">
        <v>475</v>
      </c>
      <c r="D5" s="32">
        <v>560</v>
      </c>
      <c r="E5" s="32">
        <v>493</v>
      </c>
      <c r="F5" s="33">
        <v>346.5</v>
      </c>
      <c r="G5" s="34">
        <v>254.8</v>
      </c>
      <c r="H5" s="34">
        <v>264.89999999999998</v>
      </c>
      <c r="I5" s="34">
        <v>226.7</v>
      </c>
      <c r="J5" s="34">
        <v>229.2</v>
      </c>
      <c r="K5" s="34">
        <v>250.2</v>
      </c>
      <c r="L5" s="34">
        <v>234.4</v>
      </c>
      <c r="M5" s="34">
        <v>328</v>
      </c>
      <c r="N5" s="34">
        <v>279.3</v>
      </c>
      <c r="O5" s="35">
        <v>238.1</v>
      </c>
      <c r="P5" s="36">
        <v>297.10000000000002</v>
      </c>
      <c r="Q5" s="98">
        <v>293</v>
      </c>
      <c r="R5" s="98">
        <v>283.2</v>
      </c>
      <c r="S5" s="98">
        <v>298.60000000000002</v>
      </c>
      <c r="T5" s="98">
        <v>247.6</v>
      </c>
      <c r="U5" s="37">
        <v>303.5</v>
      </c>
      <c r="V5">
        <v>231</v>
      </c>
      <c r="W5">
        <v>259</v>
      </c>
      <c r="X5">
        <v>247</v>
      </c>
      <c r="Y5">
        <v>245</v>
      </c>
      <c r="Z5">
        <v>231</v>
      </c>
      <c r="AA5">
        <v>226</v>
      </c>
      <c r="AB5">
        <v>271</v>
      </c>
      <c r="AC5">
        <v>279</v>
      </c>
      <c r="AD5">
        <v>305</v>
      </c>
      <c r="AE5">
        <v>308</v>
      </c>
      <c r="AF5" s="98">
        <v>198</v>
      </c>
      <c r="AG5" s="98">
        <v>275</v>
      </c>
      <c r="AH5" s="98">
        <v>282</v>
      </c>
      <c r="AI5" s="98">
        <v>275</v>
      </c>
      <c r="AJ5" s="98">
        <v>267</v>
      </c>
      <c r="AK5" s="98">
        <v>265</v>
      </c>
      <c r="AL5" s="98">
        <v>268</v>
      </c>
      <c r="AM5" s="98">
        <v>290</v>
      </c>
      <c r="AN5" s="98">
        <v>285</v>
      </c>
      <c r="AO5" s="98">
        <v>251</v>
      </c>
      <c r="AP5" s="98">
        <v>267</v>
      </c>
      <c r="AQ5" s="98">
        <v>259</v>
      </c>
      <c r="AR5" s="98">
        <v>273</v>
      </c>
      <c r="AS5" s="98">
        <v>298</v>
      </c>
      <c r="AT5" s="98">
        <v>270</v>
      </c>
      <c r="AU5" s="98">
        <v>259</v>
      </c>
      <c r="AV5" s="98">
        <v>284</v>
      </c>
      <c r="AW5" s="98">
        <v>285</v>
      </c>
      <c r="AX5" s="98">
        <v>265</v>
      </c>
      <c r="AY5" s="98">
        <v>262</v>
      </c>
      <c r="AZ5" s="98">
        <v>258</v>
      </c>
      <c r="BA5" s="98">
        <v>251</v>
      </c>
      <c r="BB5" s="98">
        <v>281</v>
      </c>
    </row>
    <row r="6" spans="1:61" ht="15.5" x14ac:dyDescent="0.35">
      <c r="A6" s="32">
        <v>484.8</v>
      </c>
      <c r="B6" s="32">
        <v>518.6</v>
      </c>
      <c r="C6" s="32">
        <v>510.5</v>
      </c>
      <c r="D6" s="32">
        <v>466.2</v>
      </c>
      <c r="E6" s="32">
        <v>504.1</v>
      </c>
      <c r="F6" s="33">
        <v>288.39999999999998</v>
      </c>
      <c r="G6" s="34">
        <v>324.7</v>
      </c>
      <c r="H6" s="34">
        <v>307.60000000000002</v>
      </c>
      <c r="I6" s="34">
        <v>348</v>
      </c>
      <c r="J6" s="34">
        <v>343.4</v>
      </c>
      <c r="K6" s="34">
        <v>363.4</v>
      </c>
      <c r="L6" s="34">
        <v>292</v>
      </c>
      <c r="M6" s="34">
        <v>299.10000000000002</v>
      </c>
      <c r="N6" s="34">
        <v>347.7</v>
      </c>
      <c r="O6" s="35">
        <v>344.4</v>
      </c>
      <c r="P6" s="36">
        <v>319.5</v>
      </c>
      <c r="Q6" s="98">
        <v>316.60000000000002</v>
      </c>
      <c r="R6" s="98">
        <v>319.7</v>
      </c>
      <c r="S6" s="98">
        <v>317.10000000000002</v>
      </c>
      <c r="T6" s="98">
        <v>349.6</v>
      </c>
      <c r="U6" s="37">
        <v>331.7</v>
      </c>
      <c r="V6">
        <v>405.1</v>
      </c>
      <c r="W6">
        <v>355.6</v>
      </c>
      <c r="X6">
        <v>321.39999999999998</v>
      </c>
      <c r="Y6">
        <v>321.10000000000002</v>
      </c>
      <c r="Z6">
        <v>346.5</v>
      </c>
      <c r="AA6">
        <v>337.6</v>
      </c>
      <c r="AB6">
        <v>349.8</v>
      </c>
      <c r="AC6">
        <v>352.4</v>
      </c>
      <c r="AD6">
        <v>332.4</v>
      </c>
      <c r="AE6">
        <v>319.39999999999998</v>
      </c>
      <c r="AF6" s="2">
        <v>351.6</v>
      </c>
      <c r="AG6" s="2">
        <v>373.1</v>
      </c>
      <c r="AH6" s="2">
        <v>325</v>
      </c>
      <c r="AI6" s="2">
        <v>331.1</v>
      </c>
      <c r="AJ6" s="2">
        <v>332.7</v>
      </c>
      <c r="AK6" s="2">
        <v>346.8</v>
      </c>
      <c r="AL6" s="2">
        <v>355.4</v>
      </c>
      <c r="AM6" s="2">
        <v>324.89999999999998</v>
      </c>
      <c r="AN6" s="2">
        <v>344</v>
      </c>
      <c r="AO6" s="2">
        <v>387.5</v>
      </c>
      <c r="AP6" s="2">
        <v>333</v>
      </c>
      <c r="AQ6" s="2">
        <v>341.5</v>
      </c>
      <c r="AR6" s="2">
        <v>313.10000000000002</v>
      </c>
      <c r="AS6" s="2">
        <v>373.7</v>
      </c>
      <c r="AT6" s="2">
        <v>334.8</v>
      </c>
      <c r="AU6" s="2">
        <v>388.5</v>
      </c>
      <c r="AV6" s="2">
        <v>316.60000000000002</v>
      </c>
      <c r="AW6" s="2">
        <v>318.7</v>
      </c>
      <c r="AX6" s="2">
        <v>334.7</v>
      </c>
      <c r="AY6" s="2">
        <v>369</v>
      </c>
      <c r="AZ6" s="2">
        <v>339.5</v>
      </c>
      <c r="BA6" s="2">
        <v>343.6</v>
      </c>
      <c r="BB6" s="2">
        <v>345.5</v>
      </c>
    </row>
    <row r="7" spans="1:61" ht="15.5" x14ac:dyDescent="0.35">
      <c r="A7" s="38">
        <v>2224.1</v>
      </c>
      <c r="B7" s="38">
        <v>2277.6999999999998</v>
      </c>
      <c r="C7" s="38">
        <v>2280.9</v>
      </c>
      <c r="D7" s="38">
        <v>2297</v>
      </c>
      <c r="E7" s="38">
        <v>2286.4</v>
      </c>
      <c r="F7" s="39">
        <v>1719.1999999999998</v>
      </c>
      <c r="G7" s="40">
        <v>1699.6</v>
      </c>
      <c r="H7" s="40">
        <v>1699.4</v>
      </c>
      <c r="I7" s="40">
        <v>1722.3</v>
      </c>
      <c r="J7" s="40">
        <v>1708.2999999999997</v>
      </c>
      <c r="K7" s="40">
        <v>1718.9</v>
      </c>
      <c r="L7" s="40">
        <v>1712.9</v>
      </c>
      <c r="M7" s="40">
        <v>1720.2999999999997</v>
      </c>
      <c r="N7" s="40">
        <v>1723.2</v>
      </c>
      <c r="O7" s="41">
        <v>1725.6</v>
      </c>
      <c r="P7" s="42">
        <v>1725.6999999999998</v>
      </c>
      <c r="Q7" s="43">
        <v>1738</v>
      </c>
      <c r="R7" s="43">
        <v>1723.9</v>
      </c>
      <c r="S7" s="43">
        <v>1713.6</v>
      </c>
      <c r="T7" s="43">
        <v>1719.6999999999998</v>
      </c>
      <c r="U7" s="44">
        <v>1728.6000000000001</v>
      </c>
      <c r="V7">
        <v>1689.3000000000002</v>
      </c>
      <c r="W7">
        <v>1704.8000000000002</v>
      </c>
      <c r="X7">
        <v>1693.5</v>
      </c>
      <c r="Y7">
        <v>1685.9</v>
      </c>
      <c r="Z7">
        <v>1661.4</v>
      </c>
      <c r="AA7">
        <v>1669.1999999999998</v>
      </c>
      <c r="AB7">
        <v>1786.2</v>
      </c>
      <c r="AC7">
        <v>1799.3000000000002</v>
      </c>
      <c r="AD7">
        <v>1818.1999999999998</v>
      </c>
      <c r="AE7">
        <v>1786.1</v>
      </c>
      <c r="AF7" s="3">
        <v>1642.4</v>
      </c>
      <c r="AG7" s="3">
        <v>1709.5</v>
      </c>
      <c r="AH7" s="3">
        <v>1698.5</v>
      </c>
      <c r="AI7" s="3">
        <v>1729.4</v>
      </c>
      <c r="AJ7" s="3">
        <v>1704</v>
      </c>
      <c r="AK7" s="3">
        <v>1718.1</v>
      </c>
      <c r="AL7" s="3">
        <v>1701.6999999999998</v>
      </c>
      <c r="AM7" s="3">
        <v>1714.9</v>
      </c>
      <c r="AN7" s="3">
        <v>1714</v>
      </c>
      <c r="AO7" s="3">
        <v>1730.9</v>
      </c>
      <c r="AP7" s="3">
        <v>1723.4</v>
      </c>
      <c r="AQ7" s="3">
        <v>1717.5</v>
      </c>
      <c r="AR7" s="3">
        <v>1703.1999999999998</v>
      </c>
      <c r="AS7" s="3">
        <v>1750.1000000000001</v>
      </c>
      <c r="AT7" s="3">
        <v>1735.1</v>
      </c>
      <c r="AU7" s="3">
        <v>1767</v>
      </c>
      <c r="AV7" s="3">
        <v>1752.4</v>
      </c>
      <c r="AW7" s="3">
        <v>1760.6000000000001</v>
      </c>
      <c r="AX7" s="3">
        <v>1747.8</v>
      </c>
      <c r="AY7" s="3">
        <v>1750.2</v>
      </c>
      <c r="AZ7" s="3">
        <v>1739.1</v>
      </c>
      <c r="BA7" s="3">
        <v>1752.6</v>
      </c>
      <c r="BB7" s="3">
        <v>1743.6</v>
      </c>
    </row>
    <row r="8" spans="1:61" ht="15.5" x14ac:dyDescent="0.35">
      <c r="A8" s="32">
        <v>1944.8</v>
      </c>
      <c r="B8" s="32">
        <v>1837.3</v>
      </c>
      <c r="C8" s="32">
        <v>1858.1</v>
      </c>
      <c r="D8" s="32">
        <v>1860.2</v>
      </c>
      <c r="E8" s="32">
        <v>1841.6</v>
      </c>
      <c r="F8" s="33">
        <v>1943.4</v>
      </c>
      <c r="G8" s="34">
        <v>1904.1</v>
      </c>
      <c r="H8" s="34">
        <v>1904.5</v>
      </c>
      <c r="I8" s="34">
        <v>1842.2</v>
      </c>
      <c r="J8" s="34">
        <v>1854.8</v>
      </c>
      <c r="K8" s="34">
        <v>1839.1</v>
      </c>
      <c r="L8" s="34">
        <v>1900</v>
      </c>
      <c r="M8" s="34">
        <v>1910.3</v>
      </c>
      <c r="N8" s="34">
        <v>1898.5</v>
      </c>
      <c r="O8" s="35">
        <v>1839.5</v>
      </c>
      <c r="P8" s="36">
        <v>1896.5</v>
      </c>
      <c r="Q8" s="98">
        <v>1899.4</v>
      </c>
      <c r="R8" s="98">
        <v>1885.8</v>
      </c>
      <c r="S8" s="98">
        <v>1812.8</v>
      </c>
      <c r="T8" s="98">
        <v>1806.9</v>
      </c>
      <c r="U8" s="37">
        <v>1893.4</v>
      </c>
      <c r="V8">
        <v>1783.8</v>
      </c>
      <c r="W8">
        <v>1802.4</v>
      </c>
      <c r="X8">
        <v>1725.4</v>
      </c>
      <c r="Y8">
        <v>1925.3</v>
      </c>
      <c r="Z8">
        <v>1855.6</v>
      </c>
      <c r="AA8">
        <v>1849.8</v>
      </c>
      <c r="AB8">
        <v>1821.1</v>
      </c>
      <c r="AC8">
        <v>1842.3</v>
      </c>
      <c r="AD8">
        <v>1863.5</v>
      </c>
      <c r="AE8">
        <v>1827.6</v>
      </c>
      <c r="AF8" s="98">
        <v>1882.8</v>
      </c>
      <c r="AG8" s="98">
        <v>1889.1</v>
      </c>
      <c r="AH8" s="98">
        <v>1911.4</v>
      </c>
      <c r="AI8" s="98">
        <v>1852</v>
      </c>
      <c r="AJ8" s="98">
        <v>1938.1</v>
      </c>
      <c r="AK8" s="98">
        <v>1902.2</v>
      </c>
      <c r="AL8" s="98">
        <v>1903.4</v>
      </c>
      <c r="AM8" s="98">
        <v>1884.5</v>
      </c>
      <c r="AN8" s="98">
        <v>1883.3</v>
      </c>
      <c r="AO8" s="98">
        <v>1927.2</v>
      </c>
      <c r="AP8" s="98">
        <v>1890.3</v>
      </c>
      <c r="AQ8" s="98">
        <v>1771.4</v>
      </c>
      <c r="AR8" s="98">
        <v>1855.4</v>
      </c>
      <c r="AS8" s="98">
        <v>1901.6</v>
      </c>
      <c r="AT8" s="98">
        <v>1854.8</v>
      </c>
      <c r="AU8" s="98">
        <v>1846.9</v>
      </c>
      <c r="AV8" s="98">
        <v>1833.3</v>
      </c>
      <c r="AW8" s="98">
        <v>1795.1</v>
      </c>
      <c r="AX8" s="98">
        <v>1830.5</v>
      </c>
      <c r="AY8" s="98">
        <v>1954.2</v>
      </c>
      <c r="AZ8" s="98">
        <v>1888.1</v>
      </c>
      <c r="BA8" s="98">
        <v>1898.6</v>
      </c>
      <c r="BB8" s="98">
        <v>1967.4</v>
      </c>
    </row>
    <row r="9" spans="1:61" ht="15.5" x14ac:dyDescent="0.35">
      <c r="A9" s="32">
        <v>1463.6</v>
      </c>
      <c r="B9" s="32">
        <v>1318.8</v>
      </c>
      <c r="C9" s="32">
        <v>1449.7</v>
      </c>
      <c r="D9" s="32">
        <v>1265.2</v>
      </c>
      <c r="E9" s="32">
        <v>1367.1</v>
      </c>
      <c r="F9" s="33">
        <v>1429</v>
      </c>
      <c r="G9" s="34">
        <v>1515</v>
      </c>
      <c r="H9" s="34">
        <v>1587</v>
      </c>
      <c r="I9" s="34">
        <v>1541</v>
      </c>
      <c r="J9" s="34">
        <v>1580</v>
      </c>
      <c r="K9" s="34">
        <v>1586</v>
      </c>
      <c r="L9" s="34">
        <v>1540</v>
      </c>
      <c r="M9" s="34">
        <v>1540</v>
      </c>
      <c r="N9" s="34">
        <v>1535</v>
      </c>
      <c r="O9" s="35">
        <v>1559</v>
      </c>
      <c r="P9" s="36">
        <v>1528</v>
      </c>
      <c r="Q9" s="98">
        <v>1564</v>
      </c>
      <c r="R9" s="98">
        <v>1563</v>
      </c>
      <c r="S9" s="98">
        <v>1647</v>
      </c>
      <c r="T9" s="98">
        <v>1639</v>
      </c>
      <c r="U9" s="37">
        <v>1576</v>
      </c>
      <c r="V9">
        <v>1743</v>
      </c>
      <c r="W9">
        <v>1587.2</v>
      </c>
      <c r="X9">
        <v>1667.5</v>
      </c>
      <c r="Y9">
        <v>1468</v>
      </c>
      <c r="Z9">
        <v>1534.4</v>
      </c>
      <c r="AA9">
        <v>1516.9</v>
      </c>
      <c r="AB9">
        <v>1594.5</v>
      </c>
      <c r="AC9">
        <v>1551.4</v>
      </c>
      <c r="AD9">
        <v>1515.2</v>
      </c>
      <c r="AE9">
        <v>1590.3</v>
      </c>
      <c r="AF9" s="98">
        <v>1587.2</v>
      </c>
      <c r="AG9" s="98">
        <v>1553.9</v>
      </c>
      <c r="AH9" s="98">
        <v>1615.4</v>
      </c>
      <c r="AI9" s="98">
        <v>1564.8</v>
      </c>
      <c r="AJ9" s="98">
        <v>1529.4</v>
      </c>
      <c r="AK9" s="98">
        <v>1568.5</v>
      </c>
      <c r="AL9" s="98">
        <v>1555.5</v>
      </c>
      <c r="AM9" s="98">
        <v>1581.5</v>
      </c>
      <c r="AN9" s="98">
        <v>1566.3</v>
      </c>
      <c r="AO9" s="98">
        <v>1509.1</v>
      </c>
      <c r="AP9" s="98">
        <v>1527.3</v>
      </c>
      <c r="AQ9" s="98">
        <v>1670.5</v>
      </c>
      <c r="AR9" s="98">
        <v>1597.7</v>
      </c>
      <c r="AS9" s="98">
        <v>1567</v>
      </c>
      <c r="AT9" s="98">
        <v>1559.3</v>
      </c>
      <c r="AU9" s="98">
        <v>1570.7</v>
      </c>
      <c r="AV9" s="98">
        <v>1595.2</v>
      </c>
      <c r="AW9" s="98">
        <v>1634.3</v>
      </c>
      <c r="AX9" s="98">
        <v>1558.6</v>
      </c>
      <c r="AY9" s="98">
        <v>1565.9</v>
      </c>
      <c r="AZ9" s="98">
        <v>1556.4</v>
      </c>
      <c r="BA9" s="98">
        <v>1591</v>
      </c>
      <c r="BB9" s="98">
        <v>1531.5</v>
      </c>
      <c r="BF9" s="19"/>
      <c r="BG9" s="19" t="s">
        <v>56</v>
      </c>
      <c r="BH9" s="19" t="s">
        <v>57</v>
      </c>
      <c r="BI9" s="19" t="s">
        <v>58</v>
      </c>
    </row>
    <row r="10" spans="1:61" ht="15.5" x14ac:dyDescent="0.35">
      <c r="A10" s="32">
        <v>2500.1</v>
      </c>
      <c r="B10" s="32">
        <v>2847.4</v>
      </c>
      <c r="C10" s="32">
        <v>2711.3</v>
      </c>
      <c r="D10" s="32">
        <v>2914.5</v>
      </c>
      <c r="E10" s="32">
        <v>2753.5</v>
      </c>
      <c r="F10" s="33">
        <v>2757.5</v>
      </c>
      <c r="G10" s="34">
        <v>2715.3</v>
      </c>
      <c r="H10" s="34">
        <v>2688.6</v>
      </c>
      <c r="I10" s="34">
        <v>2782.3</v>
      </c>
      <c r="J10" s="34">
        <v>2749</v>
      </c>
      <c r="K10" s="34">
        <v>2791</v>
      </c>
      <c r="L10" s="34">
        <v>2688.4</v>
      </c>
      <c r="M10" s="34">
        <v>2742.8</v>
      </c>
      <c r="N10" s="34">
        <v>2793.2</v>
      </c>
      <c r="O10" s="35">
        <v>2775.5</v>
      </c>
      <c r="P10" s="36">
        <v>2722.2</v>
      </c>
      <c r="Q10" s="98">
        <v>2718.1</v>
      </c>
      <c r="R10" s="98">
        <v>2728.8</v>
      </c>
      <c r="S10" s="98">
        <v>2734.6</v>
      </c>
      <c r="T10" s="98">
        <v>2745.7</v>
      </c>
      <c r="U10" s="37">
        <v>2724.7</v>
      </c>
      <c r="V10">
        <v>2794.9</v>
      </c>
      <c r="W10">
        <v>2738.4</v>
      </c>
      <c r="X10">
        <v>2701.4</v>
      </c>
      <c r="Y10">
        <v>2743.1</v>
      </c>
      <c r="Z10">
        <v>2762.4</v>
      </c>
      <c r="AA10">
        <v>2792.9</v>
      </c>
      <c r="AB10">
        <v>2626.5</v>
      </c>
      <c r="AC10">
        <v>2697.5</v>
      </c>
      <c r="AD10">
        <v>2685.6</v>
      </c>
      <c r="AE10">
        <v>2661.8</v>
      </c>
      <c r="AF10" s="98">
        <v>2722.6</v>
      </c>
      <c r="AG10" s="98">
        <v>2750.7</v>
      </c>
      <c r="AH10" s="98">
        <v>2663.7</v>
      </c>
      <c r="AI10" s="98">
        <v>2735.5</v>
      </c>
      <c r="AJ10" s="98">
        <v>2661</v>
      </c>
      <c r="AK10" s="98">
        <v>2692.3</v>
      </c>
      <c r="AL10" s="98">
        <v>2729.5</v>
      </c>
      <c r="AM10" s="98">
        <v>2697</v>
      </c>
      <c r="AN10" s="98">
        <v>2759</v>
      </c>
      <c r="AO10" s="98">
        <v>2730.1</v>
      </c>
      <c r="AP10" s="98">
        <v>2730.9</v>
      </c>
      <c r="AQ10" s="98">
        <v>2734.9</v>
      </c>
      <c r="AR10" s="98">
        <v>2683.1</v>
      </c>
      <c r="AS10" s="98">
        <v>2776.1</v>
      </c>
      <c r="AT10" s="98">
        <v>2771.2</v>
      </c>
      <c r="AU10" s="98">
        <v>2783.1</v>
      </c>
      <c r="AV10" s="98">
        <v>2742.2</v>
      </c>
      <c r="AW10" s="98">
        <v>2702.8</v>
      </c>
      <c r="AX10" s="98">
        <v>2766</v>
      </c>
      <c r="AY10" s="98">
        <v>2603.1999999999998</v>
      </c>
      <c r="AZ10" s="98">
        <v>2705.6</v>
      </c>
      <c r="BA10" s="98">
        <v>2629.7</v>
      </c>
      <c r="BB10" s="98">
        <v>2621.7</v>
      </c>
      <c r="BF10" s="19" t="s">
        <v>59</v>
      </c>
      <c r="BG10" s="80">
        <f>AVERAGE(F14:U14)</f>
        <v>11330.212500000001</v>
      </c>
      <c r="BH10" s="80">
        <f>AVERAGE(AG14:AP14)</f>
        <v>11320.7</v>
      </c>
      <c r="BI10" s="18">
        <f>ABS((BG10-BH10)/BG10)</f>
        <v>8.3956942555143835E-4</v>
      </c>
    </row>
    <row r="11" spans="1:61" ht="15.5" x14ac:dyDescent="0.35">
      <c r="A11" s="32">
        <v>1378.1</v>
      </c>
      <c r="B11" s="32">
        <v>1369.8</v>
      </c>
      <c r="C11" s="32">
        <v>1180.4000000000001</v>
      </c>
      <c r="D11" s="32">
        <v>1303.8</v>
      </c>
      <c r="E11" s="32">
        <v>1419.5</v>
      </c>
      <c r="F11" s="33">
        <v>1681.5</v>
      </c>
      <c r="G11" s="34">
        <v>1661.8</v>
      </c>
      <c r="H11" s="34">
        <v>1556.4</v>
      </c>
      <c r="I11" s="34">
        <v>1629.2</v>
      </c>
      <c r="J11" s="34">
        <v>1595.5</v>
      </c>
      <c r="K11" s="34">
        <v>1552.8</v>
      </c>
      <c r="L11" s="34">
        <v>1611.4</v>
      </c>
      <c r="M11" s="34">
        <v>1541.9</v>
      </c>
      <c r="N11" s="34">
        <v>1519.1</v>
      </c>
      <c r="O11" s="35">
        <v>1604.7</v>
      </c>
      <c r="P11" s="36">
        <v>1649.9</v>
      </c>
      <c r="Q11" s="98">
        <v>1546.1</v>
      </c>
      <c r="R11" s="98">
        <v>1546.1</v>
      </c>
      <c r="S11" s="98">
        <v>1581.7</v>
      </c>
      <c r="T11" s="98">
        <v>1578.1</v>
      </c>
      <c r="U11" s="37">
        <v>1577.4</v>
      </c>
      <c r="V11">
        <v>1652.9</v>
      </c>
      <c r="W11">
        <v>1636.2</v>
      </c>
      <c r="X11">
        <v>1678.7</v>
      </c>
      <c r="Y11">
        <v>1576.1</v>
      </c>
      <c r="Z11">
        <v>1593.2</v>
      </c>
      <c r="AA11">
        <v>1596.9</v>
      </c>
      <c r="AB11">
        <v>1602.5</v>
      </c>
      <c r="AC11">
        <v>1528.5</v>
      </c>
      <c r="AD11">
        <v>1551.2</v>
      </c>
      <c r="AE11">
        <v>1556.3</v>
      </c>
      <c r="AF11" s="98">
        <v>1595.5</v>
      </c>
      <c r="AG11" s="98">
        <v>1603.3</v>
      </c>
      <c r="AH11" s="98">
        <v>1495</v>
      </c>
      <c r="AI11" s="98">
        <v>1624.2</v>
      </c>
      <c r="AJ11" s="98">
        <v>1603.3</v>
      </c>
      <c r="AK11" s="98">
        <v>1581.5</v>
      </c>
      <c r="AL11" s="98">
        <v>1566</v>
      </c>
      <c r="AM11" s="98">
        <v>1573</v>
      </c>
      <c r="AN11" s="98">
        <v>1558</v>
      </c>
      <c r="AO11" s="98">
        <v>1608.9</v>
      </c>
      <c r="AP11" s="98">
        <v>1607.5</v>
      </c>
      <c r="AQ11" s="98">
        <v>1550</v>
      </c>
      <c r="AR11" s="98">
        <v>1584.5</v>
      </c>
      <c r="AS11" s="98">
        <v>1504.9</v>
      </c>
      <c r="AT11" s="98">
        <v>1549.3</v>
      </c>
      <c r="AU11" s="98">
        <v>1556.8</v>
      </c>
      <c r="AV11" s="98">
        <v>1559.4</v>
      </c>
      <c r="AW11" s="98">
        <v>1608.4</v>
      </c>
      <c r="AX11" s="98">
        <v>1612.5</v>
      </c>
      <c r="AY11" s="98">
        <v>1590.8</v>
      </c>
      <c r="AZ11" s="98">
        <v>1610.6</v>
      </c>
      <c r="BA11" s="98">
        <v>1603.3</v>
      </c>
      <c r="BB11" s="98">
        <v>1595.8</v>
      </c>
      <c r="BF11" s="19" t="s">
        <v>60</v>
      </c>
      <c r="BG11" s="81">
        <f>AVERAGE(F15:U15)</f>
        <v>0.37544358875198619</v>
      </c>
      <c r="BH11" s="81">
        <f>AVERAGE(AG15:AP15)</f>
        <v>0.37567255581666087</v>
      </c>
      <c r="BI11" s="18">
        <f t="shared" ref="BI11:BI17" si="0">ABS((BG11-BH11)/BG11)</f>
        <v>6.0985743673447551E-4</v>
      </c>
    </row>
    <row r="12" spans="1:61" ht="15.5" x14ac:dyDescent="0.35">
      <c r="A12" s="32">
        <v>1769.5</v>
      </c>
      <c r="B12" s="32">
        <v>1633.2</v>
      </c>
      <c r="C12" s="32">
        <v>1795.1</v>
      </c>
      <c r="D12" s="32">
        <v>1636.4</v>
      </c>
      <c r="E12" s="32">
        <v>1606.8</v>
      </c>
      <c r="F12" s="33">
        <v>1800.7</v>
      </c>
      <c r="G12" s="34">
        <v>1832.6</v>
      </c>
      <c r="H12" s="34">
        <v>1890.7</v>
      </c>
      <c r="I12" s="34">
        <v>1814.4</v>
      </c>
      <c r="J12" s="34">
        <v>1845.9</v>
      </c>
      <c r="K12" s="34">
        <v>1841.5</v>
      </c>
      <c r="L12" s="34">
        <v>1880</v>
      </c>
      <c r="M12" s="34">
        <v>1876.5</v>
      </c>
      <c r="N12" s="34">
        <v>1862.3</v>
      </c>
      <c r="O12" s="35">
        <v>1829.3</v>
      </c>
      <c r="P12" s="36">
        <v>1808.6</v>
      </c>
      <c r="Q12" s="98">
        <v>1862.9</v>
      </c>
      <c r="R12" s="98">
        <v>1881.7</v>
      </c>
      <c r="S12" s="98">
        <v>1837.5</v>
      </c>
      <c r="T12" s="98">
        <v>1840.2</v>
      </c>
      <c r="U12" s="37">
        <v>1827.9</v>
      </c>
      <c r="V12">
        <v>1776.9</v>
      </c>
      <c r="W12">
        <v>1825.5</v>
      </c>
      <c r="X12">
        <v>1827.7</v>
      </c>
      <c r="Y12">
        <v>1899.9</v>
      </c>
      <c r="Z12">
        <v>1890.1</v>
      </c>
      <c r="AA12">
        <v>1872.3</v>
      </c>
      <c r="AB12">
        <v>1861.4</v>
      </c>
      <c r="AC12">
        <v>1871.2</v>
      </c>
      <c r="AD12">
        <v>1859.6</v>
      </c>
      <c r="AE12">
        <v>1870.1</v>
      </c>
      <c r="AF12" s="98">
        <v>1896.7</v>
      </c>
      <c r="AG12" s="98">
        <v>1813.2</v>
      </c>
      <c r="AH12" s="98">
        <v>1936.6</v>
      </c>
      <c r="AI12" s="98">
        <v>1816</v>
      </c>
      <c r="AJ12" s="98">
        <v>1885.9</v>
      </c>
      <c r="AK12" s="98">
        <v>1855</v>
      </c>
      <c r="AL12" s="98">
        <v>1863</v>
      </c>
      <c r="AM12" s="98">
        <v>1868</v>
      </c>
      <c r="AN12" s="98">
        <v>1841</v>
      </c>
      <c r="AO12" s="98">
        <v>1816.7</v>
      </c>
      <c r="AP12" s="98">
        <v>1843.6</v>
      </c>
      <c r="AQ12" s="98">
        <v>1875</v>
      </c>
      <c r="AR12" s="98">
        <v>1897</v>
      </c>
      <c r="AS12" s="98">
        <v>1836.7</v>
      </c>
      <c r="AT12" s="98">
        <v>1867.3</v>
      </c>
      <c r="AU12" s="98">
        <v>1810.1</v>
      </c>
      <c r="AV12" s="98">
        <v>1849.7</v>
      </c>
      <c r="AW12" s="98">
        <v>1835.1</v>
      </c>
      <c r="AX12" s="98">
        <v>1820.5</v>
      </c>
      <c r="AY12" s="98">
        <v>1873.4</v>
      </c>
      <c r="AZ12" s="98">
        <v>1837.4</v>
      </c>
      <c r="BA12" s="98">
        <v>1859.7</v>
      </c>
      <c r="BB12" s="98">
        <v>1876.6</v>
      </c>
      <c r="BF12" s="19" t="s">
        <v>61</v>
      </c>
      <c r="BG12" s="78">
        <f>AVERAGE(F26:U26)</f>
        <v>-2.1361599712516815E-2</v>
      </c>
      <c r="BH12" s="78">
        <f>AVERAGE(AG26:AP26)</f>
        <v>-1.3802203670895663E-2</v>
      </c>
      <c r="BI12" s="18">
        <f t="shared" si="0"/>
        <v>0.35387780612665115</v>
      </c>
    </row>
    <row r="13" spans="1:61" ht="15.5" x14ac:dyDescent="0.35">
      <c r="A13" s="38">
        <v>9056.1</v>
      </c>
      <c r="B13" s="38">
        <v>9006.5</v>
      </c>
      <c r="C13" s="38">
        <v>8994.6</v>
      </c>
      <c r="D13" s="38">
        <v>8980.1</v>
      </c>
      <c r="E13" s="38">
        <v>8988.5</v>
      </c>
      <c r="F13" s="39">
        <v>9612.1</v>
      </c>
      <c r="G13" s="40">
        <v>9628.7999999999993</v>
      </c>
      <c r="H13" s="40">
        <v>9627.2000000000007</v>
      </c>
      <c r="I13" s="40">
        <v>9609.1</v>
      </c>
      <c r="J13" s="40">
        <v>9625.2000000000007</v>
      </c>
      <c r="K13" s="40">
        <v>9610.4000000000015</v>
      </c>
      <c r="L13" s="40">
        <v>9619.7999999999993</v>
      </c>
      <c r="M13" s="40">
        <v>9611.5</v>
      </c>
      <c r="N13" s="40">
        <v>9608.0999999999985</v>
      </c>
      <c r="O13" s="41">
        <v>9608</v>
      </c>
      <c r="P13" s="42">
        <v>9605.2000000000007</v>
      </c>
      <c r="Q13" s="43">
        <v>9590.5</v>
      </c>
      <c r="R13" s="43">
        <v>9605.4000000000015</v>
      </c>
      <c r="S13" s="43">
        <v>9613.5999999999985</v>
      </c>
      <c r="T13" s="43">
        <v>9609.9000000000015</v>
      </c>
      <c r="U13" s="44">
        <v>9599.4</v>
      </c>
      <c r="V13">
        <v>9751.5</v>
      </c>
      <c r="W13">
        <v>9589.7000000000007</v>
      </c>
      <c r="X13">
        <v>9600.7000000000007</v>
      </c>
      <c r="Y13">
        <v>9612.4</v>
      </c>
      <c r="Z13">
        <v>9635.6999999999989</v>
      </c>
      <c r="AA13">
        <v>9628.7999999999993</v>
      </c>
      <c r="AB13">
        <v>9506</v>
      </c>
      <c r="AC13">
        <v>9490.9</v>
      </c>
      <c r="AD13">
        <v>9475.0999999999985</v>
      </c>
      <c r="AE13">
        <v>9506.1</v>
      </c>
      <c r="AF13" s="3">
        <v>9684.8000000000011</v>
      </c>
      <c r="AG13" s="3">
        <v>9610.2000000000007</v>
      </c>
      <c r="AH13" s="3">
        <v>9622.1</v>
      </c>
      <c r="AI13" s="3">
        <v>9592.5</v>
      </c>
      <c r="AJ13" s="3">
        <v>9617.7000000000007</v>
      </c>
      <c r="AK13" s="3">
        <v>9599.5</v>
      </c>
      <c r="AL13" s="3">
        <v>9617.4</v>
      </c>
      <c r="AM13" s="3">
        <v>9604</v>
      </c>
      <c r="AN13" s="3">
        <v>9607.6</v>
      </c>
      <c r="AO13" s="3">
        <v>9592</v>
      </c>
      <c r="AP13" s="3">
        <v>9599.6</v>
      </c>
      <c r="AQ13" s="3">
        <v>9601.7999999999993</v>
      </c>
      <c r="AR13" s="3">
        <v>9617.7000000000007</v>
      </c>
      <c r="AS13" s="3">
        <v>9586.3000000000011</v>
      </c>
      <c r="AT13" s="3">
        <v>9601.9</v>
      </c>
      <c r="AU13" s="3">
        <v>9567.6</v>
      </c>
      <c r="AV13" s="3">
        <v>9579.8000000000011</v>
      </c>
      <c r="AW13" s="3">
        <v>9575.7000000000007</v>
      </c>
      <c r="AX13" s="3">
        <v>9588.1</v>
      </c>
      <c r="AY13" s="3">
        <v>9587.5</v>
      </c>
      <c r="AZ13" s="3">
        <v>9598.1</v>
      </c>
      <c r="BA13" s="3">
        <v>9582.2999999999993</v>
      </c>
      <c r="BB13" s="3">
        <v>9593</v>
      </c>
      <c r="BF13" s="19" t="s">
        <v>62</v>
      </c>
      <c r="BG13" s="17">
        <f>AVERAGE(F16:U16)</f>
        <v>2210.4812499999998</v>
      </c>
      <c r="BH13" s="17">
        <f>AVERAGE(AF16:AR16)</f>
        <v>2226.3923076923074</v>
      </c>
      <c r="BI13" s="18">
        <f t="shared" si="0"/>
        <v>7.1980061773008136E-3</v>
      </c>
    </row>
    <row r="14" spans="1:61" ht="15.5" x14ac:dyDescent="0.35">
      <c r="A14" s="45">
        <v>11280.2</v>
      </c>
      <c r="B14" s="45">
        <v>11284.2</v>
      </c>
      <c r="C14" s="45">
        <v>11275.5</v>
      </c>
      <c r="D14" s="45">
        <v>11277.1</v>
      </c>
      <c r="E14" s="45">
        <v>11274.9</v>
      </c>
      <c r="F14" s="46">
        <v>11331.3</v>
      </c>
      <c r="G14" s="47">
        <v>11328.4</v>
      </c>
      <c r="H14" s="47">
        <v>11326.6</v>
      </c>
      <c r="I14" s="47">
        <v>11331.4</v>
      </c>
      <c r="J14" s="47">
        <v>11333.5</v>
      </c>
      <c r="K14" s="47">
        <v>11329.300000000001</v>
      </c>
      <c r="L14" s="47">
        <v>11332.699999999999</v>
      </c>
      <c r="M14" s="47">
        <v>11331.8</v>
      </c>
      <c r="N14" s="47">
        <v>11331.3</v>
      </c>
      <c r="O14" s="48">
        <v>11333.6</v>
      </c>
      <c r="P14" s="49">
        <v>11330.900000000001</v>
      </c>
      <c r="Q14" s="50">
        <v>11328.5</v>
      </c>
      <c r="R14" s="50">
        <v>11329.300000000001</v>
      </c>
      <c r="S14" s="50">
        <v>11327.199999999999</v>
      </c>
      <c r="T14" s="50">
        <v>11329.600000000002</v>
      </c>
      <c r="U14" s="51">
        <v>11328</v>
      </c>
      <c r="V14">
        <v>11440.8</v>
      </c>
      <c r="W14">
        <v>11294.5</v>
      </c>
      <c r="X14">
        <v>11294.2</v>
      </c>
      <c r="Y14">
        <v>11298.3</v>
      </c>
      <c r="Z14">
        <v>11297.099999999999</v>
      </c>
      <c r="AA14">
        <v>11298</v>
      </c>
      <c r="AB14">
        <v>11292.2</v>
      </c>
      <c r="AC14">
        <v>11290.2</v>
      </c>
      <c r="AD14">
        <v>11293.3</v>
      </c>
      <c r="AE14">
        <v>11292.2</v>
      </c>
      <c r="AF14" s="4">
        <v>11327.2</v>
      </c>
      <c r="AG14" s="4">
        <v>11319.7</v>
      </c>
      <c r="AH14" s="4">
        <v>11320.6</v>
      </c>
      <c r="AI14" s="4">
        <v>11321.9</v>
      </c>
      <c r="AJ14" s="4">
        <v>11321.7</v>
      </c>
      <c r="AK14" s="4">
        <v>11317.6</v>
      </c>
      <c r="AL14" s="4">
        <v>11319.099999999999</v>
      </c>
      <c r="AM14" s="4">
        <v>11318.9</v>
      </c>
      <c r="AN14" s="4">
        <v>11321.6</v>
      </c>
      <c r="AO14" s="4">
        <v>11322.9</v>
      </c>
      <c r="AP14" s="4">
        <v>11323</v>
      </c>
      <c r="AQ14" s="4">
        <v>11319.3</v>
      </c>
      <c r="AR14" s="4">
        <v>11320.900000000001</v>
      </c>
      <c r="AS14" s="4">
        <v>11336.400000000001</v>
      </c>
      <c r="AT14" s="4">
        <v>11337</v>
      </c>
      <c r="AU14" s="4">
        <v>11334.6</v>
      </c>
      <c r="AV14" s="4">
        <v>11332.2</v>
      </c>
      <c r="AW14" s="4">
        <v>11336.300000000001</v>
      </c>
      <c r="AX14" s="4">
        <v>11335.9</v>
      </c>
      <c r="AY14" s="4">
        <v>11337.7</v>
      </c>
      <c r="AZ14" s="4">
        <v>11337.2</v>
      </c>
      <c r="BA14" s="4">
        <v>11334.9</v>
      </c>
      <c r="BB14" s="4">
        <v>11336.6</v>
      </c>
      <c r="BF14" s="19" t="s">
        <v>63</v>
      </c>
      <c r="BG14" s="17">
        <f t="shared" ref="BG14:BG17" si="1">AVERAGE(F17:U17)</f>
        <v>1833.6875</v>
      </c>
      <c r="BH14" s="17">
        <f t="shared" ref="BH14:BH17" si="2">AVERAGE(AF17:AR17)</f>
        <v>1836.0692307692307</v>
      </c>
      <c r="BI14" s="18">
        <f t="shared" si="0"/>
        <v>1.2988749551004035E-3</v>
      </c>
    </row>
    <row r="15" spans="1:61" ht="20.5" x14ac:dyDescent="0.35">
      <c r="A15" s="52">
        <v>0.33360498927323973</v>
      </c>
      <c r="B15" s="52">
        <v>0.32929928572694556</v>
      </c>
      <c r="C15" s="52">
        <v>0.3288949048822668</v>
      </c>
      <c r="D15" s="52">
        <v>0.32760785130929049</v>
      </c>
      <c r="E15" s="52">
        <v>0.32843621672919499</v>
      </c>
      <c r="F15" s="53">
        <v>0.37541636881911167</v>
      </c>
      <c r="G15" s="54">
        <v>0.37697238798065041</v>
      </c>
      <c r="H15" s="54">
        <v>0.37696669786167075</v>
      </c>
      <c r="I15" s="54">
        <v>0.3751659106553471</v>
      </c>
      <c r="J15" s="54">
        <v>0.37632827458419726</v>
      </c>
      <c r="K15" s="54">
        <v>0.37541608925529379</v>
      </c>
      <c r="L15" s="54">
        <v>0.37594505281177482</v>
      </c>
      <c r="M15" s="54">
        <v>0.37533322155350424</v>
      </c>
      <c r="N15" s="54">
        <v>0.37509160467024955</v>
      </c>
      <c r="O15" s="55">
        <v>0.37492517823110039</v>
      </c>
      <c r="P15" s="56">
        <v>0.37488368090795954</v>
      </c>
      <c r="Q15" s="57">
        <v>0.37385509996910438</v>
      </c>
      <c r="R15" s="57">
        <v>0.37501006240456169</v>
      </c>
      <c r="S15" s="57">
        <v>0.37582067942651315</v>
      </c>
      <c r="T15" s="57">
        <v>0.37535482276514609</v>
      </c>
      <c r="U15" s="58">
        <v>0.37461228813559322</v>
      </c>
      <c r="V15">
        <v>0.37915670232850845</v>
      </c>
      <c r="W15">
        <v>0.37613453450794643</v>
      </c>
      <c r="X15">
        <v>0.37705131837580347</v>
      </c>
      <c r="Y15">
        <v>0.37772023224732915</v>
      </c>
      <c r="Z15">
        <v>0.37970085243115487</v>
      </c>
      <c r="AA15">
        <v>0.37907647371216135</v>
      </c>
      <c r="AB15">
        <v>0.36947441596854463</v>
      </c>
      <c r="AC15">
        <v>0.368381162424049</v>
      </c>
      <c r="AD15">
        <v>0.36688173518812028</v>
      </c>
      <c r="AE15">
        <v>0.36948256318520745</v>
      </c>
      <c r="AF15" s="79">
        <v>0.38160357369870751</v>
      </c>
      <c r="AG15" s="79">
        <v>0.37606168891401709</v>
      </c>
      <c r="AH15" s="79">
        <v>0.3769666802112962</v>
      </c>
      <c r="AI15" s="79">
        <v>0.37447164345207079</v>
      </c>
      <c r="AJ15" s="79">
        <v>0.37653316198097453</v>
      </c>
      <c r="AK15" s="79">
        <v>0.3753368205273202</v>
      </c>
      <c r="AL15" s="79">
        <v>0.37668829677271159</v>
      </c>
      <c r="AM15" s="79">
        <v>0.37561295708946973</v>
      </c>
      <c r="AN15" s="79">
        <v>0.37571933295647258</v>
      </c>
      <c r="AO15" s="79">
        <v>0.3743621775340239</v>
      </c>
      <c r="AP15" s="79">
        <v>0.37497279872825218</v>
      </c>
      <c r="AQ15" s="79">
        <v>0.37540656224324814</v>
      </c>
      <c r="AR15" s="79">
        <v>0.37658838961566649</v>
      </c>
      <c r="AS15" s="97">
        <v>0.3729714900673935</v>
      </c>
      <c r="AT15" s="97">
        <v>0.37419626003351852</v>
      </c>
      <c r="AU15" s="97">
        <v>0.37157720607696787</v>
      </c>
      <c r="AV15" s="97">
        <v>0.37273212615379181</v>
      </c>
      <c r="AW15" s="97">
        <v>0.37211810731896644</v>
      </c>
      <c r="AX15" s="97">
        <v>0.3731518891309909</v>
      </c>
      <c r="AY15" s="97">
        <v>0.37297966077775913</v>
      </c>
      <c r="AZ15" s="97">
        <v>0.37387414881981434</v>
      </c>
      <c r="BA15" s="97">
        <v>0.37274978164783096</v>
      </c>
      <c r="BB15" s="97">
        <v>0.37350149074678463</v>
      </c>
      <c r="BF15" s="19" t="s">
        <v>64</v>
      </c>
      <c r="BG15" s="17">
        <f t="shared" si="1"/>
        <v>3251.4</v>
      </c>
      <c r="BH15" s="17">
        <f t="shared" si="2"/>
        <v>3206.8692307692304</v>
      </c>
      <c r="BI15" s="18">
        <f t="shared" si="0"/>
        <v>1.3695875386224301E-2</v>
      </c>
    </row>
    <row r="16" spans="1:61" ht="15.5" x14ac:dyDescent="0.35">
      <c r="A16" s="59">
        <v>2344.9</v>
      </c>
      <c r="B16" s="59">
        <v>2296.1</v>
      </c>
      <c r="C16" s="59">
        <v>2277</v>
      </c>
      <c r="D16" s="59">
        <v>2316.6</v>
      </c>
      <c r="E16" s="59">
        <v>2281.1</v>
      </c>
      <c r="F16" s="60">
        <v>2282.9</v>
      </c>
      <c r="G16" s="61">
        <v>2238.7999999999997</v>
      </c>
      <c r="H16" s="61">
        <v>2189.4</v>
      </c>
      <c r="I16" s="61">
        <v>2184.6999999999998</v>
      </c>
      <c r="J16" s="61">
        <v>2208.1</v>
      </c>
      <c r="K16" s="61">
        <v>2188.9</v>
      </c>
      <c r="L16" s="61">
        <v>2181.4</v>
      </c>
      <c r="M16" s="61">
        <v>2208.1</v>
      </c>
      <c r="N16" s="61">
        <v>2221.4</v>
      </c>
      <c r="O16" s="62">
        <v>2227.4</v>
      </c>
      <c r="P16" s="63">
        <v>2234.6</v>
      </c>
      <c r="Q16" s="64">
        <v>2207.2000000000003</v>
      </c>
      <c r="R16" s="64">
        <v>2229.3000000000002</v>
      </c>
      <c r="S16" s="64">
        <v>2175.8000000000002</v>
      </c>
      <c r="T16" s="64">
        <v>2180.1</v>
      </c>
      <c r="U16" s="65">
        <v>2209.6</v>
      </c>
      <c r="V16">
        <v>2220.8000000000002</v>
      </c>
      <c r="W16">
        <v>2229.6</v>
      </c>
      <c r="X16">
        <v>2174.9</v>
      </c>
      <c r="Y16">
        <v>2246.1</v>
      </c>
      <c r="Z16">
        <v>2234.5</v>
      </c>
      <c r="AA16">
        <v>2203.4</v>
      </c>
      <c r="AB16">
        <v>2194.9</v>
      </c>
      <c r="AC16">
        <v>2193.4</v>
      </c>
      <c r="AD16">
        <v>2202.3000000000002</v>
      </c>
      <c r="AE16">
        <v>2163.1999999999998</v>
      </c>
      <c r="AF16" s="5">
        <v>2226.5</v>
      </c>
      <c r="AG16" s="5">
        <v>2223.4</v>
      </c>
      <c r="AH16" s="5">
        <v>2234.3000000000002</v>
      </c>
      <c r="AI16" s="5">
        <v>2180.6</v>
      </c>
      <c r="AJ16" s="5">
        <v>2266.2999999999997</v>
      </c>
      <c r="AK16" s="5">
        <v>2226.5</v>
      </c>
      <c r="AL16" s="5">
        <v>2240.4</v>
      </c>
      <c r="AM16" s="5">
        <v>2196.6999999999998</v>
      </c>
      <c r="AN16" s="5">
        <v>2200.3000000000002</v>
      </c>
      <c r="AO16" s="5">
        <v>2262</v>
      </c>
      <c r="AP16" s="5">
        <v>2239.6</v>
      </c>
      <c r="AQ16" s="5">
        <v>2201.6</v>
      </c>
      <c r="AR16" s="5">
        <v>2244.9</v>
      </c>
      <c r="AS16" s="5">
        <v>2201.6</v>
      </c>
      <c r="AT16" s="5">
        <v>2202.6999999999998</v>
      </c>
      <c r="AU16" s="5">
        <v>2194.2000000000003</v>
      </c>
      <c r="AV16" s="5">
        <v>2170.6999999999998</v>
      </c>
      <c r="AW16" s="5">
        <v>2169.5</v>
      </c>
      <c r="AX16" s="5">
        <v>2200.4</v>
      </c>
      <c r="AY16" s="5">
        <v>2252.6999999999998</v>
      </c>
      <c r="AZ16" s="5">
        <v>2218.6</v>
      </c>
      <c r="BA16" s="5">
        <v>2226.1</v>
      </c>
      <c r="BB16" s="5">
        <v>2280.4</v>
      </c>
      <c r="BF16" s="19" t="s">
        <v>65</v>
      </c>
      <c r="BG16" s="17">
        <f t="shared" si="1"/>
        <v>1863.0437499999998</v>
      </c>
      <c r="BH16" s="17">
        <f t="shared" si="2"/>
        <v>1846.5923076923077</v>
      </c>
      <c r="BI16" s="18">
        <f t="shared" si="0"/>
        <v>8.8304111525518963E-3</v>
      </c>
    </row>
    <row r="17" spans="1:61" ht="15.5" x14ac:dyDescent="0.35">
      <c r="A17" s="59">
        <v>1660.8</v>
      </c>
      <c r="B17" s="59">
        <v>1581.1</v>
      </c>
      <c r="C17" s="59">
        <v>1724.2</v>
      </c>
      <c r="D17" s="59">
        <v>1436.6000000000001</v>
      </c>
      <c r="E17" s="59">
        <v>1574.8999999999999</v>
      </c>
      <c r="F17" s="60">
        <v>1686</v>
      </c>
      <c r="G17" s="61">
        <v>1800</v>
      </c>
      <c r="H17" s="61">
        <v>1892</v>
      </c>
      <c r="I17" s="61">
        <v>1857</v>
      </c>
      <c r="J17" s="61">
        <v>1837</v>
      </c>
      <c r="K17" s="61">
        <v>1885</v>
      </c>
      <c r="L17" s="61">
        <v>1874</v>
      </c>
      <c r="M17" s="61">
        <v>1851</v>
      </c>
      <c r="N17" s="61">
        <v>1826</v>
      </c>
      <c r="O17" s="62">
        <v>1788</v>
      </c>
      <c r="P17" s="63">
        <v>1782</v>
      </c>
      <c r="Q17" s="64">
        <v>1833</v>
      </c>
      <c r="R17" s="64">
        <v>1817</v>
      </c>
      <c r="S17" s="64">
        <v>1887</v>
      </c>
      <c r="T17" s="64">
        <v>1894</v>
      </c>
      <c r="U17" s="65">
        <v>1830</v>
      </c>
      <c r="V17">
        <v>1894.2</v>
      </c>
      <c r="W17">
        <v>1731.2</v>
      </c>
      <c r="X17">
        <v>1808.1</v>
      </c>
      <c r="Y17">
        <v>1724</v>
      </c>
      <c r="Z17">
        <v>1779.4</v>
      </c>
      <c r="AA17">
        <v>1787.9</v>
      </c>
      <c r="AB17">
        <v>1865.1</v>
      </c>
      <c r="AC17">
        <v>1830.2</v>
      </c>
      <c r="AD17">
        <v>1801.2</v>
      </c>
      <c r="AE17">
        <v>1878.4</v>
      </c>
      <c r="AF17" s="5">
        <v>1872.3000000000002</v>
      </c>
      <c r="AG17" s="5">
        <v>1834</v>
      </c>
      <c r="AH17" s="5">
        <v>1863</v>
      </c>
      <c r="AI17" s="5">
        <v>1860.5</v>
      </c>
      <c r="AJ17" s="5">
        <v>1804.5</v>
      </c>
      <c r="AK17" s="5">
        <v>1829.5</v>
      </c>
      <c r="AL17" s="5">
        <v>1825.8</v>
      </c>
      <c r="AM17" s="5">
        <v>1888.3</v>
      </c>
      <c r="AN17" s="5">
        <v>1838.3</v>
      </c>
      <c r="AO17" s="5">
        <v>1774.6999999999998</v>
      </c>
      <c r="AP17" s="5">
        <v>1784.4</v>
      </c>
      <c r="AQ17" s="5">
        <v>1875.3</v>
      </c>
      <c r="AR17" s="5">
        <v>1818.3</v>
      </c>
      <c r="AS17" s="5">
        <v>1848.4</v>
      </c>
      <c r="AT17" s="5">
        <v>1850.6999999999998</v>
      </c>
      <c r="AU17" s="5">
        <v>1845.9</v>
      </c>
      <c r="AV17" s="5">
        <v>1862.6</v>
      </c>
      <c r="AW17" s="5">
        <v>1889.8</v>
      </c>
      <c r="AX17" s="5">
        <v>1815.8</v>
      </c>
      <c r="AY17" s="5">
        <v>1857.6000000000001</v>
      </c>
      <c r="AZ17" s="5">
        <v>1807.5</v>
      </c>
      <c r="BA17" s="5">
        <v>1834.5</v>
      </c>
      <c r="BB17" s="5">
        <v>1783.6</v>
      </c>
      <c r="BF17" s="19" t="s">
        <v>66</v>
      </c>
      <c r="BG17" s="17">
        <f t="shared" si="1"/>
        <v>2171.6</v>
      </c>
      <c r="BH17" s="17">
        <f t="shared" si="2"/>
        <v>2205.1846153846154</v>
      </c>
      <c r="BI17" s="18">
        <f t="shared" si="0"/>
        <v>1.5465378239369828E-2</v>
      </c>
    </row>
    <row r="18" spans="1:61" ht="15.5" x14ac:dyDescent="0.35">
      <c r="A18" s="59">
        <v>3194.1</v>
      </c>
      <c r="B18" s="59">
        <v>3396.4</v>
      </c>
      <c r="C18" s="59">
        <v>3313.3</v>
      </c>
      <c r="D18" s="59">
        <v>3557.5</v>
      </c>
      <c r="E18" s="59">
        <v>3395.5</v>
      </c>
      <c r="F18" s="60">
        <v>3245.3</v>
      </c>
      <c r="G18" s="61">
        <v>3215.7000000000003</v>
      </c>
      <c r="H18" s="61">
        <v>3225.6</v>
      </c>
      <c r="I18" s="61">
        <v>3271.4</v>
      </c>
      <c r="J18" s="61">
        <v>3274.4</v>
      </c>
      <c r="K18" s="61">
        <v>3247.5</v>
      </c>
      <c r="L18" s="61">
        <v>3259.5</v>
      </c>
      <c r="M18" s="61">
        <v>3227.2000000000003</v>
      </c>
      <c r="N18" s="61">
        <v>3275.5</v>
      </c>
      <c r="O18" s="62">
        <v>3301.7</v>
      </c>
      <c r="P18" s="63">
        <v>3239.2</v>
      </c>
      <c r="Q18" s="64">
        <v>3269.7</v>
      </c>
      <c r="R18" s="64">
        <v>3252.3</v>
      </c>
      <c r="S18" s="64">
        <v>3229.5</v>
      </c>
      <c r="T18" s="64">
        <v>3240</v>
      </c>
      <c r="U18" s="65">
        <v>3247.8999999999996</v>
      </c>
      <c r="V18">
        <v>3259.9</v>
      </c>
      <c r="W18">
        <v>3257.4</v>
      </c>
      <c r="X18">
        <v>3236.4</v>
      </c>
      <c r="Y18">
        <v>3286.1</v>
      </c>
      <c r="Z18">
        <v>3222.4</v>
      </c>
      <c r="AA18">
        <v>3273.9</v>
      </c>
      <c r="AB18">
        <v>3147.5</v>
      </c>
      <c r="AC18">
        <v>3235.5</v>
      </c>
      <c r="AD18">
        <v>3241.6</v>
      </c>
      <c r="AE18">
        <v>3196.8</v>
      </c>
      <c r="AF18" s="5">
        <v>3186.6</v>
      </c>
      <c r="AG18" s="5">
        <v>3197.7</v>
      </c>
      <c r="AH18" s="5">
        <v>3184.7</v>
      </c>
      <c r="AI18" s="5">
        <v>3234.5</v>
      </c>
      <c r="AJ18" s="5">
        <v>3162</v>
      </c>
      <c r="AK18" s="5">
        <v>3213.3</v>
      </c>
      <c r="AL18" s="5">
        <v>3200.5</v>
      </c>
      <c r="AM18" s="5">
        <v>3178</v>
      </c>
      <c r="AN18" s="5">
        <v>3255</v>
      </c>
      <c r="AO18" s="5">
        <v>3222.1</v>
      </c>
      <c r="AP18" s="5">
        <v>3247.9</v>
      </c>
      <c r="AQ18" s="5">
        <v>3216.9</v>
      </c>
      <c r="AR18" s="5">
        <v>3190.1</v>
      </c>
      <c r="AS18" s="5">
        <v>3273.1</v>
      </c>
      <c r="AT18" s="5">
        <v>3262.2</v>
      </c>
      <c r="AU18" s="5">
        <v>3280.1</v>
      </c>
      <c r="AV18" s="5">
        <v>3289.2</v>
      </c>
      <c r="AW18" s="5">
        <v>3229.8</v>
      </c>
      <c r="AX18" s="5">
        <v>3287</v>
      </c>
      <c r="AY18" s="5">
        <v>3132.2</v>
      </c>
      <c r="AZ18" s="5">
        <v>3265.6</v>
      </c>
      <c r="BA18" s="5">
        <v>3216.7</v>
      </c>
      <c r="BB18" s="5">
        <v>3173.7</v>
      </c>
    </row>
    <row r="19" spans="1:61" ht="15.5" x14ac:dyDescent="0.35">
      <c r="A19" s="59">
        <v>1826.1</v>
      </c>
      <c r="B19" s="59">
        <v>1858.8</v>
      </c>
      <c r="C19" s="59">
        <v>1655.4</v>
      </c>
      <c r="D19" s="59">
        <v>1863.8</v>
      </c>
      <c r="E19" s="59">
        <v>1912.5</v>
      </c>
      <c r="F19" s="60">
        <v>2028</v>
      </c>
      <c r="G19" s="61">
        <v>1916.6</v>
      </c>
      <c r="H19" s="61">
        <v>1821.3000000000002</v>
      </c>
      <c r="I19" s="61">
        <v>1855.9</v>
      </c>
      <c r="J19" s="61">
        <v>1824.7</v>
      </c>
      <c r="K19" s="61">
        <v>1803</v>
      </c>
      <c r="L19" s="61">
        <v>1845.8000000000002</v>
      </c>
      <c r="M19" s="61">
        <v>1869.9</v>
      </c>
      <c r="N19" s="61">
        <v>1798.3999999999999</v>
      </c>
      <c r="O19" s="62">
        <v>1842.8</v>
      </c>
      <c r="P19" s="63">
        <v>1947</v>
      </c>
      <c r="Q19" s="64">
        <v>1839.1</v>
      </c>
      <c r="R19" s="64">
        <v>1829.3</v>
      </c>
      <c r="S19" s="64">
        <v>1880.3000000000002</v>
      </c>
      <c r="T19" s="64">
        <v>1825.6999999999998</v>
      </c>
      <c r="U19" s="65">
        <v>1880.9</v>
      </c>
      <c r="V19">
        <v>1883.9</v>
      </c>
      <c r="W19">
        <v>1895.2</v>
      </c>
      <c r="X19">
        <v>1925.7</v>
      </c>
      <c r="Y19">
        <v>1821.1</v>
      </c>
      <c r="Z19">
        <v>1824.2</v>
      </c>
      <c r="AA19">
        <v>1822.9</v>
      </c>
      <c r="AB19">
        <v>1873.5</v>
      </c>
      <c r="AC19">
        <v>1807.5</v>
      </c>
      <c r="AD19">
        <v>1856.2</v>
      </c>
      <c r="AE19">
        <v>1864.3</v>
      </c>
      <c r="AF19" s="5">
        <v>1793.5</v>
      </c>
      <c r="AG19" s="5">
        <v>1878.3</v>
      </c>
      <c r="AH19" s="5">
        <v>1777</v>
      </c>
      <c r="AI19" s="5">
        <v>1899.2</v>
      </c>
      <c r="AJ19" s="5">
        <v>1870.3</v>
      </c>
      <c r="AK19" s="5">
        <v>1846.5</v>
      </c>
      <c r="AL19" s="5">
        <v>1834</v>
      </c>
      <c r="AM19" s="5">
        <v>1863</v>
      </c>
      <c r="AN19" s="5">
        <v>1843</v>
      </c>
      <c r="AO19" s="5">
        <v>1859.9</v>
      </c>
      <c r="AP19" s="5">
        <v>1874.5</v>
      </c>
      <c r="AQ19" s="5">
        <v>1809</v>
      </c>
      <c r="AR19" s="5">
        <v>1857.5</v>
      </c>
      <c r="AS19" s="5">
        <v>1802.9</v>
      </c>
      <c r="AT19" s="5">
        <v>1819.3</v>
      </c>
      <c r="AU19" s="5">
        <v>1815.8</v>
      </c>
      <c r="AV19" s="5">
        <v>1843.4</v>
      </c>
      <c r="AW19" s="5">
        <v>1893.4</v>
      </c>
      <c r="AX19" s="5">
        <v>1877.5</v>
      </c>
      <c r="AY19" s="5">
        <v>1852.8</v>
      </c>
      <c r="AZ19" s="5">
        <v>1868.6</v>
      </c>
      <c r="BA19" s="5">
        <v>1854.3</v>
      </c>
      <c r="BB19" s="5">
        <v>1876.8</v>
      </c>
    </row>
    <row r="20" spans="1:61" ht="15.5" x14ac:dyDescent="0.35">
      <c r="A20" s="59">
        <v>2254.3000000000002</v>
      </c>
      <c r="B20" s="59">
        <v>2151.8000000000002</v>
      </c>
      <c r="C20" s="59">
        <v>2305.6</v>
      </c>
      <c r="D20" s="59">
        <v>2102.6</v>
      </c>
      <c r="E20" s="59">
        <v>2110.9</v>
      </c>
      <c r="F20" s="60">
        <v>2089.1</v>
      </c>
      <c r="G20" s="61">
        <v>2157.2999999999997</v>
      </c>
      <c r="H20" s="61">
        <v>2198.3000000000002</v>
      </c>
      <c r="I20" s="61">
        <v>2162.4</v>
      </c>
      <c r="J20" s="61">
        <v>2189.3000000000002</v>
      </c>
      <c r="K20" s="61">
        <v>2204.9</v>
      </c>
      <c r="L20" s="61">
        <v>2172</v>
      </c>
      <c r="M20" s="61">
        <v>2175.6</v>
      </c>
      <c r="N20" s="61">
        <v>2210</v>
      </c>
      <c r="O20" s="62">
        <v>2173.6999999999998</v>
      </c>
      <c r="P20" s="63">
        <v>2128.1</v>
      </c>
      <c r="Q20" s="64">
        <v>2179.5</v>
      </c>
      <c r="R20" s="64">
        <v>2201.4</v>
      </c>
      <c r="S20" s="64">
        <v>2154.6</v>
      </c>
      <c r="T20" s="64">
        <v>2189.8000000000002</v>
      </c>
      <c r="U20" s="65">
        <v>2159.6</v>
      </c>
      <c r="V20">
        <v>2182</v>
      </c>
      <c r="W20">
        <v>2181.1</v>
      </c>
      <c r="X20">
        <v>2149.1</v>
      </c>
      <c r="Y20">
        <v>2221</v>
      </c>
      <c r="Z20">
        <v>2236.6</v>
      </c>
      <c r="AA20">
        <v>2209.9</v>
      </c>
      <c r="AB20">
        <v>2211.2000000000003</v>
      </c>
      <c r="AC20">
        <v>2223.6</v>
      </c>
      <c r="AD20">
        <v>2192</v>
      </c>
      <c r="AE20">
        <v>2189.5</v>
      </c>
      <c r="AF20" s="5">
        <v>2248.3000000000002</v>
      </c>
      <c r="AG20" s="5">
        <v>2186.3000000000002</v>
      </c>
      <c r="AH20" s="5">
        <v>2261.6</v>
      </c>
      <c r="AI20" s="5">
        <v>2147.1</v>
      </c>
      <c r="AJ20" s="5">
        <v>2218.6</v>
      </c>
      <c r="AK20" s="5">
        <v>2201.8000000000002</v>
      </c>
      <c r="AL20" s="5">
        <v>2218.4</v>
      </c>
      <c r="AM20" s="5">
        <v>2192.9</v>
      </c>
      <c r="AN20" s="5">
        <v>2185</v>
      </c>
      <c r="AO20" s="5">
        <v>2204.1999999999998</v>
      </c>
      <c r="AP20" s="5">
        <v>2176.6</v>
      </c>
      <c r="AQ20" s="5">
        <v>2216.5</v>
      </c>
      <c r="AR20" s="5">
        <v>2210.1</v>
      </c>
      <c r="AS20" s="5">
        <v>2210.4</v>
      </c>
      <c r="AT20" s="5">
        <v>2202.1</v>
      </c>
      <c r="AU20" s="5">
        <v>2198.6</v>
      </c>
      <c r="AV20" s="5">
        <v>2166.3000000000002</v>
      </c>
      <c r="AW20" s="5">
        <v>2153.7999999999997</v>
      </c>
      <c r="AX20" s="5">
        <v>2155.1999999999998</v>
      </c>
      <c r="AY20" s="5">
        <v>2242.4</v>
      </c>
      <c r="AZ20" s="5">
        <v>2176.9</v>
      </c>
      <c r="BA20" s="5">
        <v>2203.3000000000002</v>
      </c>
      <c r="BB20" s="5">
        <v>2222.1</v>
      </c>
    </row>
    <row r="21" spans="1:61" ht="15.5" x14ac:dyDescent="0.35">
      <c r="A21" s="32">
        <v>35.802443601006438</v>
      </c>
      <c r="B21" s="32">
        <v>33.116828535342542</v>
      </c>
      <c r="C21" s="32">
        <v>34.574747474747461</v>
      </c>
      <c r="D21" s="32">
        <v>33.374816541483213</v>
      </c>
      <c r="E21" s="32">
        <v>33.774341326552978</v>
      </c>
      <c r="F21" s="66">
        <v>37.818279381488459</v>
      </c>
      <c r="G21" s="67">
        <v>37.74602465606575</v>
      </c>
      <c r="H21" s="67">
        <v>39.528318260710684</v>
      </c>
      <c r="I21" s="67">
        <v>37.076967089302883</v>
      </c>
      <c r="J21" s="67">
        <v>36.779833340881311</v>
      </c>
      <c r="K21" s="67">
        <v>36.797820823244543</v>
      </c>
      <c r="L21" s="67">
        <v>39.632025304850089</v>
      </c>
      <c r="M21" s="67">
        <v>39.092228612834553</v>
      </c>
      <c r="N21" s="67">
        <v>38.126991987035183</v>
      </c>
      <c r="O21" s="68">
        <v>35.47827062943341</v>
      </c>
      <c r="P21" s="69">
        <v>37.580193323189832</v>
      </c>
      <c r="Q21" s="23">
        <v>38.670351576658199</v>
      </c>
      <c r="R21" s="23">
        <v>37.324249764500053</v>
      </c>
      <c r="S21" s="23">
        <v>36.151162790697661</v>
      </c>
      <c r="T21" s="23">
        <v>35.750997660657767</v>
      </c>
      <c r="U21" s="70">
        <v>38.334540188269372</v>
      </c>
      <c r="V21">
        <v>33.396613832853021</v>
      </c>
      <c r="W21">
        <v>33.872443487621098</v>
      </c>
      <c r="X21">
        <v>32.485792450227599</v>
      </c>
      <c r="Y21">
        <v>38.360068563287477</v>
      </c>
      <c r="Z21">
        <v>35.899731483553353</v>
      </c>
      <c r="AA21">
        <v>36.735908141962419</v>
      </c>
      <c r="AB21">
        <v>35.832042462071165</v>
      </c>
      <c r="AC21">
        <v>36.773456733837875</v>
      </c>
      <c r="AD21">
        <v>37.346796530899503</v>
      </c>
      <c r="AE21">
        <v>37.227071005917161</v>
      </c>
      <c r="AF21" s="7">
        <v>37.298158544801254</v>
      </c>
      <c r="AG21" s="7">
        <v>37.66731132499774</v>
      </c>
      <c r="AH21" s="7">
        <v>38.204202658550777</v>
      </c>
      <c r="AI21" s="7">
        <v>37.636292763459593</v>
      </c>
      <c r="AJ21" s="7">
        <v>38.176785950668489</v>
      </c>
      <c r="AK21" s="7">
        <v>38.099775432292823</v>
      </c>
      <c r="AL21" s="7">
        <v>37.66139975004463</v>
      </c>
      <c r="AM21" s="7">
        <v>38.424750762507394</v>
      </c>
      <c r="AN21" s="7">
        <v>38.245443803117738</v>
      </c>
      <c r="AO21" s="7">
        <v>37.88302387267904</v>
      </c>
      <c r="AP21" s="7">
        <v>37.151187712091435</v>
      </c>
      <c r="AQ21" s="7">
        <v>33.522892441860463</v>
      </c>
      <c r="AR21" s="7">
        <v>35.537596329457891</v>
      </c>
      <c r="AS21" s="7">
        <v>38.963662790697668</v>
      </c>
      <c r="AT21" s="7">
        <v>36.969287692377542</v>
      </c>
      <c r="AU21" s="7">
        <v>36.938155136268335</v>
      </c>
      <c r="AV21" s="7">
        <v>37.200096742986126</v>
      </c>
      <c r="AW21" s="7">
        <v>35.623162018898356</v>
      </c>
      <c r="AX21" s="7">
        <v>36.03426649700053</v>
      </c>
      <c r="AY21" s="7">
        <v>39.309295512052209</v>
      </c>
      <c r="AZ21" s="7">
        <v>37.794960786081305</v>
      </c>
      <c r="BA21" s="7">
        <v>37.965118368447058</v>
      </c>
      <c r="BB21" s="7">
        <v>38.872390808630051</v>
      </c>
    </row>
    <row r="22" spans="1:61" ht="15.5" x14ac:dyDescent="0.35">
      <c r="A22" s="32">
        <v>40.576107899807326</v>
      </c>
      <c r="B22" s="32">
        <v>36.237461261147295</v>
      </c>
      <c r="C22" s="32">
        <v>36.853207284537753</v>
      </c>
      <c r="D22" s="32">
        <v>40.523527773910615</v>
      </c>
      <c r="E22" s="32">
        <v>39.361070544161528</v>
      </c>
      <c r="F22" s="66">
        <v>37.476275207591925</v>
      </c>
      <c r="G22" s="67">
        <v>36.933333333333323</v>
      </c>
      <c r="H22" s="67">
        <v>36.669133192389005</v>
      </c>
      <c r="I22" s="67">
        <v>35.844641895530422</v>
      </c>
      <c r="J22" s="67">
        <v>38.629014697876968</v>
      </c>
      <c r="K22" s="67">
        <v>36.906896551724131</v>
      </c>
      <c r="L22" s="67">
        <v>35.102988260405539</v>
      </c>
      <c r="M22" s="67">
        <v>36.042409508373844</v>
      </c>
      <c r="N22" s="67">
        <v>36.838444687842269</v>
      </c>
      <c r="O22" s="68">
        <v>39.717002237136462</v>
      </c>
      <c r="P22" s="69">
        <v>38.386644219977548</v>
      </c>
      <c r="Q22" s="23">
        <v>37.998636115657384</v>
      </c>
      <c r="R22" s="23">
        <v>38.639240506329109</v>
      </c>
      <c r="S22" s="23">
        <v>39.798887122416538</v>
      </c>
      <c r="T22" s="23">
        <v>39.113516367476244</v>
      </c>
      <c r="U22" s="70">
        <v>38.730601092896173</v>
      </c>
      <c r="V22">
        <v>44.156319290465632</v>
      </c>
      <c r="W22">
        <v>43.847504621072083</v>
      </c>
      <c r="X22">
        <v>44.34597090868867</v>
      </c>
      <c r="Y22">
        <v>37.838747099767971</v>
      </c>
      <c r="Z22">
        <v>38.832808811959083</v>
      </c>
      <c r="AA22">
        <v>37.555148498238154</v>
      </c>
      <c r="AB22">
        <v>38.152082998230661</v>
      </c>
      <c r="AC22">
        <v>37.485356791607465</v>
      </c>
      <c r="AD22">
        <v>36.891960914945592</v>
      </c>
      <c r="AE22">
        <v>37.389480408858589</v>
      </c>
      <c r="AF22" s="7">
        <v>37.490920258505575</v>
      </c>
      <c r="AG22" s="7">
        <v>37.449182115594326</v>
      </c>
      <c r="AH22" s="7">
        <v>39.272839506172843</v>
      </c>
      <c r="AI22" s="7">
        <v>36.87790916420316</v>
      </c>
      <c r="AJ22" s="7">
        <v>37.474397339983376</v>
      </c>
      <c r="AK22" s="7">
        <v>38.37510248701831</v>
      </c>
      <c r="AL22" s="7">
        <v>37.879888268156421</v>
      </c>
      <c r="AM22" s="7">
        <v>36.552375152253347</v>
      </c>
      <c r="AN22" s="7">
        <v>37.887423162704671</v>
      </c>
      <c r="AO22" s="7">
        <v>37.731363047275593</v>
      </c>
      <c r="AP22" s="7">
        <v>38.244451916610615</v>
      </c>
      <c r="AQ22" s="7">
        <v>41.452754225990496</v>
      </c>
      <c r="AR22" s="7">
        <v>40.338365506242091</v>
      </c>
      <c r="AS22" s="7">
        <v>37.493940705474998</v>
      </c>
      <c r="AT22" s="7">
        <v>37.014237855946391</v>
      </c>
      <c r="AU22" s="7">
        <v>37.783980714014831</v>
      </c>
      <c r="AV22" s="7">
        <v>38.292225920755932</v>
      </c>
      <c r="AW22" s="7">
        <v>39.06164673510424</v>
      </c>
      <c r="AX22" s="7">
        <v>38.468608877629684</v>
      </c>
      <c r="AY22" s="7">
        <v>37.053186907838068</v>
      </c>
      <c r="AZ22" s="7">
        <v>38.719253112033194</v>
      </c>
      <c r="BA22" s="7">
        <v>39.288498228400108</v>
      </c>
      <c r="BB22" s="7">
        <v>38.496411751513797</v>
      </c>
    </row>
    <row r="23" spans="1:61" ht="15.5" x14ac:dyDescent="0.35">
      <c r="A23" s="32">
        <v>31.51064462602924</v>
      </c>
      <c r="B23" s="32">
        <v>36.628960075373918</v>
      </c>
      <c r="C23" s="32">
        <v>34.784338876648654</v>
      </c>
      <c r="D23" s="32">
        <v>34.871468728039353</v>
      </c>
      <c r="E23" s="32">
        <v>34.105212781622726</v>
      </c>
      <c r="F23" s="66">
        <v>37.671509567682477</v>
      </c>
      <c r="G23" s="67">
        <v>37.183739154771885</v>
      </c>
      <c r="H23" s="67">
        <v>36.183779761904766</v>
      </c>
      <c r="I23" s="67">
        <v>37.745277251329703</v>
      </c>
      <c r="J23" s="67">
        <v>36.737967261177616</v>
      </c>
      <c r="K23" s="67">
        <v>38.567590454195525</v>
      </c>
      <c r="L23" s="67">
        <v>35.380595183310319</v>
      </c>
      <c r="M23" s="67">
        <v>37.690877540902321</v>
      </c>
      <c r="N23" s="67">
        <v>37.95348801709661</v>
      </c>
      <c r="O23" s="68">
        <v>36.837735106157439</v>
      </c>
      <c r="P23" s="69">
        <v>36.816127438873799</v>
      </c>
      <c r="Q23" s="23">
        <v>35.979554699207874</v>
      </c>
      <c r="R23" s="23">
        <v>36.691403007102664</v>
      </c>
      <c r="S23" s="23">
        <v>37.401594674098149</v>
      </c>
      <c r="T23" s="23">
        <v>37.464320987654311</v>
      </c>
      <c r="U23" s="70">
        <v>36.679839280766032</v>
      </c>
      <c r="V23">
        <v>38.376898064357796</v>
      </c>
      <c r="W23">
        <v>36.841683551298573</v>
      </c>
      <c r="X23">
        <v>36.291743912989737</v>
      </c>
      <c r="Y23">
        <v>36.297784607893853</v>
      </c>
      <c r="Z23">
        <v>38.366931479642489</v>
      </c>
      <c r="AA23">
        <v>37.983399004245697</v>
      </c>
      <c r="AB23">
        <v>36.271405877680692</v>
      </c>
      <c r="AC23">
        <v>36.20220985937258</v>
      </c>
      <c r="AD23">
        <v>35.720138203356363</v>
      </c>
      <c r="AE23">
        <v>36.103353353353356</v>
      </c>
      <c r="AF23" s="7">
        <v>38.103903847360819</v>
      </c>
      <c r="AG23" s="7">
        <v>38.639506520311464</v>
      </c>
      <c r="AH23" s="7">
        <v>36.449288787012904</v>
      </c>
      <c r="AI23" s="7">
        <v>37.306770752821151</v>
      </c>
      <c r="AJ23" s="7">
        <v>36.923149905123331</v>
      </c>
      <c r="AK23" s="7">
        <v>36.583247751532689</v>
      </c>
      <c r="AL23" s="7">
        <v>37.960865489767215</v>
      </c>
      <c r="AM23" s="7">
        <v>37.575519194461926</v>
      </c>
      <c r="AN23" s="7">
        <v>37.480952380952381</v>
      </c>
      <c r="AO23" s="7">
        <v>37.452018869681261</v>
      </c>
      <c r="AP23" s="7">
        <v>36.855460451368572</v>
      </c>
      <c r="AQ23" s="7">
        <v>37.71530044452733</v>
      </c>
      <c r="AR23" s="7">
        <v>36.878514780100929</v>
      </c>
      <c r="AS23" s="7">
        <v>37.53036876355749</v>
      </c>
      <c r="AT23" s="7">
        <v>37.652902948930169</v>
      </c>
      <c r="AU23" s="7">
        <v>37.560181092039876</v>
      </c>
      <c r="AV23" s="7">
        <v>36.20023105922413</v>
      </c>
      <c r="AW23" s="7">
        <v>36.488544182302299</v>
      </c>
      <c r="AX23" s="7">
        <v>36.917706114998474</v>
      </c>
      <c r="AY23" s="7">
        <v>35.962039461081666</v>
      </c>
      <c r="AZ23" s="7">
        <v>35.723419892209698</v>
      </c>
      <c r="BA23" s="7">
        <v>34.711365685329689</v>
      </c>
      <c r="BB23" s="7">
        <v>35.498487569713575</v>
      </c>
    </row>
    <row r="24" spans="1:61" ht="15.5" x14ac:dyDescent="0.35">
      <c r="A24" s="32">
        <v>28.929494551229389</v>
      </c>
      <c r="B24" s="32">
        <v>27.297288573273075</v>
      </c>
      <c r="C24" s="32">
        <v>25.10154645402924</v>
      </c>
      <c r="D24" s="32">
        <v>23.857549093250345</v>
      </c>
      <c r="E24" s="32">
        <v>27.784444444444446</v>
      </c>
      <c r="F24" s="66">
        <v>35.781065088757394</v>
      </c>
      <c r="G24" s="67">
        <v>39.269174579985382</v>
      </c>
      <c r="H24" s="67">
        <v>38.119008400592975</v>
      </c>
      <c r="I24" s="67">
        <v>40.262110027479928</v>
      </c>
      <c r="J24" s="67">
        <v>39.943908587713054</v>
      </c>
      <c r="K24" s="67">
        <v>38.733277870216298</v>
      </c>
      <c r="L24" s="67">
        <v>39.816827391916767</v>
      </c>
      <c r="M24" s="67">
        <v>35.362238622386222</v>
      </c>
      <c r="N24" s="67">
        <v>37.211966192170806</v>
      </c>
      <c r="O24" s="68">
        <v>39.613088777946601</v>
      </c>
      <c r="P24" s="69">
        <v>37.461376476630711</v>
      </c>
      <c r="Q24" s="23">
        <v>36.842830732423458</v>
      </c>
      <c r="R24" s="23">
        <v>37.257174875635478</v>
      </c>
      <c r="S24" s="23">
        <v>36.889990958889527</v>
      </c>
      <c r="T24" s="23">
        <v>39.023032261598296</v>
      </c>
      <c r="U24" s="70">
        <v>36.654978999415171</v>
      </c>
      <c r="V24">
        <v>40.21914645151017</v>
      </c>
      <c r="W24">
        <v>38.927184466019412</v>
      </c>
      <c r="X24">
        <v>39.699615724152245</v>
      </c>
      <c r="Y24">
        <v>39.122865301191574</v>
      </c>
      <c r="Z24">
        <v>39.849961627014572</v>
      </c>
      <c r="AA24">
        <v>40.093998573701242</v>
      </c>
      <c r="AB24">
        <v>38.192287163063774</v>
      </c>
      <c r="AC24">
        <v>37.299170124481329</v>
      </c>
      <c r="AD24">
        <v>36.383094494127789</v>
      </c>
      <c r="AE24">
        <v>36.300729496325701</v>
      </c>
      <c r="AF24" s="7">
        <v>41.343323111235023</v>
      </c>
      <c r="AG24" s="7">
        <v>38.030373209817384</v>
      </c>
      <c r="AH24" s="7">
        <v>36.900112549240291</v>
      </c>
      <c r="AI24" s="7">
        <v>38.178601516427968</v>
      </c>
      <c r="AJ24" s="7">
        <v>38.366278137197234</v>
      </c>
      <c r="AK24" s="7">
        <v>38.296642296236115</v>
      </c>
      <c r="AL24" s="7">
        <v>38.056161395856044</v>
      </c>
      <c r="AM24" s="7">
        <v>37.179012345679006</v>
      </c>
      <c r="AN24" s="7">
        <v>37.273195876288653</v>
      </c>
      <c r="AO24" s="7">
        <v>39.08427872466261</v>
      </c>
      <c r="AP24" s="7">
        <v>38.395705521472387</v>
      </c>
      <c r="AQ24" s="7">
        <v>38.32808181315643</v>
      </c>
      <c r="AR24" s="7">
        <v>37.978600269179012</v>
      </c>
      <c r="AS24" s="7">
        <v>36.293388429752063</v>
      </c>
      <c r="AT24" s="7">
        <v>37.846396965865985</v>
      </c>
      <c r="AU24" s="7">
        <v>38.377409406322272</v>
      </c>
      <c r="AV24" s="7">
        <v>37.326190734512302</v>
      </c>
      <c r="AW24" s="7">
        <v>37.651896059997874</v>
      </c>
      <c r="AX24" s="7">
        <v>38.514647137150462</v>
      </c>
      <c r="AY24" s="7">
        <v>38.490500863557855</v>
      </c>
      <c r="AZ24" s="7">
        <v>38.797441935138608</v>
      </c>
      <c r="BA24" s="7">
        <v>39.046783152672162</v>
      </c>
      <c r="BB24" s="7">
        <v>37.725490196078432</v>
      </c>
    </row>
    <row r="25" spans="1:61" ht="15.5" x14ac:dyDescent="0.35">
      <c r="A25" s="32">
        <v>31.714878232710813</v>
      </c>
      <c r="B25" s="32">
        <v>29.327307370573465</v>
      </c>
      <c r="C25" s="32">
        <v>31.129597501734906</v>
      </c>
      <c r="D25" s="32">
        <v>31.101255588319219</v>
      </c>
      <c r="E25" s="32">
        <v>29.529655597138653</v>
      </c>
      <c r="F25" s="66">
        <v>38.799411229716149</v>
      </c>
      <c r="G25" s="67">
        <v>37.652876280535857</v>
      </c>
      <c r="H25" s="67">
        <v>38.626779784378826</v>
      </c>
      <c r="I25" s="67">
        <v>36.694228634850155</v>
      </c>
      <c r="J25" s="67">
        <v>37.069451422829211</v>
      </c>
      <c r="K25" s="67">
        <v>36.33704476393487</v>
      </c>
      <c r="L25" s="67">
        <v>39.131675874769797</v>
      </c>
      <c r="M25" s="67">
        <v>38.851902923331494</v>
      </c>
      <c r="N25" s="67">
        <v>37.025610859728502</v>
      </c>
      <c r="O25" s="68">
        <v>36.923563509223897</v>
      </c>
      <c r="P25" s="69">
        <v>37.68767915041586</v>
      </c>
      <c r="Q25" s="23">
        <v>38.135833906859375</v>
      </c>
      <c r="R25" s="23">
        <v>38.139229581175613</v>
      </c>
      <c r="S25" s="23">
        <v>37.960038986354775</v>
      </c>
      <c r="T25" s="23">
        <v>36.812265960361678</v>
      </c>
      <c r="U25" s="70">
        <v>37.369420263011676</v>
      </c>
      <c r="V25">
        <v>34.419706691109077</v>
      </c>
      <c r="W25">
        <v>36.500596029526392</v>
      </c>
      <c r="X25">
        <v>37.741310315946222</v>
      </c>
      <c r="Y25">
        <v>38.199144529491214</v>
      </c>
      <c r="Z25">
        <v>37.247116158454794</v>
      </c>
      <c r="AA25">
        <v>37.44542739490474</v>
      </c>
      <c r="AB25">
        <v>36.946092619392182</v>
      </c>
      <c r="AC25">
        <v>36.919679798524925</v>
      </c>
      <c r="AD25">
        <v>37.548905109489034</v>
      </c>
      <c r="AE25">
        <v>38.079218999771633</v>
      </c>
      <c r="AF25" s="7">
        <v>37.112596183783296</v>
      </c>
      <c r="AG25" s="7">
        <v>35.799867355806605</v>
      </c>
      <c r="AH25" s="7">
        <v>38.279271312345237</v>
      </c>
      <c r="AI25" s="7">
        <v>37.312863862884811</v>
      </c>
      <c r="AJ25" s="7">
        <v>37.703732083295769</v>
      </c>
      <c r="AK25" s="7">
        <v>37.009310564083925</v>
      </c>
      <c r="AL25" s="7">
        <v>36.761089073205902</v>
      </c>
      <c r="AM25" s="7">
        <v>37.869282685028949</v>
      </c>
      <c r="AN25" s="7">
        <v>37.015789473684194</v>
      </c>
      <c r="AO25" s="7">
        <v>35.326331548861269</v>
      </c>
      <c r="AP25" s="7">
        <v>37.424836901589636</v>
      </c>
      <c r="AQ25" s="7">
        <v>37.325400406045574</v>
      </c>
      <c r="AR25" s="7">
        <v>38.466562598977418</v>
      </c>
      <c r="AS25" s="7">
        <v>35.946073108939558</v>
      </c>
      <c r="AT25" s="7">
        <v>37.512624313155627</v>
      </c>
      <c r="AU25" s="7">
        <v>35.243291185299732</v>
      </c>
      <c r="AV25" s="7">
        <v>38.054401514102373</v>
      </c>
      <c r="AW25" s="7">
        <v>37.886665428544902</v>
      </c>
      <c r="AX25" s="7">
        <v>37.212509279881225</v>
      </c>
      <c r="AY25" s="7">
        <v>36.360863360684966</v>
      </c>
      <c r="AZ25" s="7">
        <v>37.152074050254939</v>
      </c>
      <c r="BA25" s="7">
        <v>37.152793536967259</v>
      </c>
      <c r="BB25" s="7">
        <v>37.195513253228924</v>
      </c>
    </row>
    <row r="26" spans="1:61" ht="16" thickBot="1" x14ac:dyDescent="0.4">
      <c r="A26" s="71">
        <v>-7.0477473803655854E-3</v>
      </c>
      <c r="B26" s="71">
        <v>-4.829761968061376E-3</v>
      </c>
      <c r="C26" s="71">
        <v>-5.1438960578243454E-3</v>
      </c>
      <c r="D26" s="71">
        <v>-3.5470111996891731E-4</v>
      </c>
      <c r="E26" s="71">
        <v>-1.2416961569500717E-3</v>
      </c>
      <c r="F26" s="72">
        <v>-2.0121257049058861E-2</v>
      </c>
      <c r="G26" s="73">
        <v>-2.0479502842413771E-2</v>
      </c>
      <c r="H26" s="73">
        <v>-2.3352109194285903E-2</v>
      </c>
      <c r="I26" s="73">
        <v>-2.0165204652558121E-2</v>
      </c>
      <c r="J26" s="73">
        <v>-2.2014382141439214E-2</v>
      </c>
      <c r="K26" s="73">
        <v>-2.2066676670226729E-2</v>
      </c>
      <c r="L26" s="73">
        <v>-2.0736452919427786E-2</v>
      </c>
      <c r="M26" s="73">
        <v>-2.034098731004794E-2</v>
      </c>
      <c r="N26" s="73">
        <v>-2.223928410685453E-2</v>
      </c>
      <c r="O26" s="74">
        <v>-2.3205336345027198E-2</v>
      </c>
      <c r="P26" s="75">
        <v>-2.1181018277453736E-2</v>
      </c>
      <c r="Q26" s="76">
        <v>-2.1759279692810198E-2</v>
      </c>
      <c r="R26" s="76">
        <v>-1.9198008703097451E-2</v>
      </c>
      <c r="S26" s="76">
        <v>-2.1673493890811611E-2</v>
      </c>
      <c r="T26" s="76">
        <v>-2.1580638327919833E-2</v>
      </c>
      <c r="U26" s="77">
        <v>-2.1671963276836115E-2</v>
      </c>
      <c r="V26">
        <v>-3.841514579400046E-2</v>
      </c>
      <c r="W26">
        <v>2.9660454203373373E-2</v>
      </c>
      <c r="X26">
        <v>2.9218536948168086E-2</v>
      </c>
      <c r="Y26">
        <v>2.0755334873387921E-2</v>
      </c>
      <c r="Z26">
        <v>2.1686981614750488E-2</v>
      </c>
      <c r="AA26">
        <v>2.1242697822623471E-2</v>
      </c>
      <c r="AB26">
        <v>1.8154124085652194E-2</v>
      </c>
      <c r="AC26">
        <v>1.669589555543748E-2</v>
      </c>
      <c r="AD26">
        <v>1.5230269274702689E-2</v>
      </c>
      <c r="AE26">
        <v>1.7047165299941398E-2</v>
      </c>
      <c r="AF26" s="24">
        <v>-1.5537820467547162E-2</v>
      </c>
      <c r="AG26" s="24">
        <v>-1.3207063791443374E-2</v>
      </c>
      <c r="AH26" s="24">
        <v>-1.3868522869812943E-2</v>
      </c>
      <c r="AI26" s="24">
        <v>-1.2497902295551181E-2</v>
      </c>
      <c r="AJ26" s="24">
        <v>-1.3072241801143048E-2</v>
      </c>
      <c r="AK26" s="24">
        <v>-1.431398883155423E-2</v>
      </c>
      <c r="AL26" s="24">
        <v>-1.581397814313867E-2</v>
      </c>
      <c r="AM26" s="24">
        <v>-1.4533214358285739E-2</v>
      </c>
      <c r="AN26" s="24">
        <v>-1.1438312605991924E-2</v>
      </c>
      <c r="AO26" s="24">
        <v>-1.3424122795396879E-2</v>
      </c>
      <c r="AP26" s="24">
        <v>-1.5852689216638641E-2</v>
      </c>
      <c r="AQ26" s="24">
        <v>-1.6122905126642207E-2</v>
      </c>
      <c r="AR26" s="24">
        <v>-1.3426494359989034E-2</v>
      </c>
      <c r="AS26" s="24">
        <v>-1.2305493807557794E-2</v>
      </c>
      <c r="AT26" s="24">
        <v>-1.4377701331921884E-2</v>
      </c>
      <c r="AU26" s="24">
        <v>-9.3960086813827479E-3</v>
      </c>
      <c r="AV26" s="24">
        <v>-1.235417659412995E-2</v>
      </c>
      <c r="AW26" s="24">
        <v>-1.2261496255391999E-2</v>
      </c>
      <c r="AX26" s="24">
        <v>-1.2658897837842777E-2</v>
      </c>
      <c r="AY26" s="24">
        <v>-1.1201566455277564E-2</v>
      </c>
      <c r="AZ26" s="24">
        <v>-9.8348798645169402E-3</v>
      </c>
      <c r="BA26" s="24">
        <v>-1.1380779715745056E-2</v>
      </c>
      <c r="BB26" s="24">
        <v>-1.0320554663655959E-2</v>
      </c>
    </row>
    <row r="27" spans="1:61" x14ac:dyDescent="0.35"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61" x14ac:dyDescent="0.35"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61" x14ac:dyDescent="0.35"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61" x14ac:dyDescent="0.35"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61" x14ac:dyDescent="0.35"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7" spans="32:54" x14ac:dyDescent="0.35"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32:54" x14ac:dyDescent="0.35"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32:54" x14ac:dyDescent="0.35"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6" spans="32:54" x14ac:dyDescent="0.35">
      <c r="AP46" s="82"/>
    </row>
  </sheetData>
  <mergeCells count="6">
    <mergeCell ref="AS1:BB1"/>
    <mergeCell ref="A1:E1"/>
    <mergeCell ref="F1:U1"/>
    <mergeCell ref="V1:AA1"/>
    <mergeCell ref="AB1:AE1"/>
    <mergeCell ref="AF1:A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441B-2E4A-4D81-BFB2-927BDB6120C2}">
  <dimension ref="D1:M33"/>
  <sheetViews>
    <sheetView workbookViewId="0">
      <selection activeCell="K37" sqref="K37"/>
    </sheetView>
  </sheetViews>
  <sheetFormatPr defaultRowHeight="14.5" x14ac:dyDescent="0.35"/>
  <cols>
    <col min="7" max="7" width="38.90625" customWidth="1"/>
    <col min="8" max="8" width="24.08984375" bestFit="1" customWidth="1"/>
    <col min="9" max="9" width="14.90625" customWidth="1"/>
    <col min="10" max="10" width="38.36328125" bestFit="1" customWidth="1"/>
    <col min="11" max="11" width="25.08984375" bestFit="1" customWidth="1"/>
    <col min="12" max="12" width="34.90625" bestFit="1" customWidth="1"/>
  </cols>
  <sheetData>
    <row r="1" spans="4:13" x14ac:dyDescent="0.35">
      <c r="D1" s="103" t="s">
        <v>67</v>
      </c>
      <c r="E1" s="103"/>
      <c r="F1" s="103"/>
      <c r="G1" s="103"/>
      <c r="H1" s="103"/>
      <c r="I1" s="103"/>
      <c r="J1" s="103"/>
      <c r="K1" s="103"/>
      <c r="L1" s="103"/>
    </row>
    <row r="2" spans="4:13" x14ac:dyDescent="0.35">
      <c r="E2" s="103" t="s">
        <v>68</v>
      </c>
      <c r="F2" s="103"/>
      <c r="G2" t="s">
        <v>69</v>
      </c>
      <c r="M2" t="s">
        <v>70</v>
      </c>
    </row>
    <row r="3" spans="4:13" x14ac:dyDescent="0.35"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</row>
    <row r="4" spans="4:13" x14ac:dyDescent="0.35">
      <c r="D4">
        <v>3</v>
      </c>
      <c r="E4">
        <v>10</v>
      </c>
      <c r="F4">
        <v>5</v>
      </c>
      <c r="G4" t="s">
        <v>80</v>
      </c>
      <c r="I4" t="s">
        <v>81</v>
      </c>
      <c r="M4" t="s">
        <v>82</v>
      </c>
    </row>
    <row r="5" spans="4:13" x14ac:dyDescent="0.35">
      <c r="D5">
        <v>1</v>
      </c>
      <c r="E5">
        <v>9</v>
      </c>
      <c r="F5">
        <v>4</v>
      </c>
      <c r="G5" t="s">
        <v>80</v>
      </c>
      <c r="J5" t="s">
        <v>83</v>
      </c>
      <c r="M5" t="s">
        <v>82</v>
      </c>
    </row>
    <row r="6" spans="4:13" x14ac:dyDescent="0.35">
      <c r="D6">
        <v>0</v>
      </c>
      <c r="E6">
        <v>8</v>
      </c>
      <c r="F6">
        <v>3</v>
      </c>
      <c r="G6" t="s">
        <v>80</v>
      </c>
      <c r="K6" t="s">
        <v>84</v>
      </c>
      <c r="M6" t="s">
        <v>82</v>
      </c>
    </row>
    <row r="7" spans="4:13" x14ac:dyDescent="0.35">
      <c r="D7">
        <v>2</v>
      </c>
      <c r="E7">
        <v>7</v>
      </c>
      <c r="F7">
        <v>2</v>
      </c>
      <c r="G7" t="s">
        <v>85</v>
      </c>
      <c r="L7" t="s">
        <v>86</v>
      </c>
      <c r="M7" t="s">
        <v>82</v>
      </c>
    </row>
    <row r="8" spans="4:13" x14ac:dyDescent="0.35">
      <c r="D8">
        <v>4</v>
      </c>
      <c r="E8">
        <v>6</v>
      </c>
      <c r="F8">
        <v>1</v>
      </c>
      <c r="G8" t="s">
        <v>87</v>
      </c>
      <c r="M8" t="s">
        <v>82</v>
      </c>
    </row>
    <row r="13" spans="4:13" x14ac:dyDescent="0.35">
      <c r="D13" s="103" t="s">
        <v>88</v>
      </c>
      <c r="E13" s="103"/>
      <c r="F13" s="103"/>
      <c r="G13" s="103"/>
      <c r="H13" s="103"/>
      <c r="I13" s="103"/>
      <c r="J13" s="103"/>
      <c r="K13" s="103"/>
      <c r="L13" s="103"/>
    </row>
    <row r="14" spans="4:13" x14ac:dyDescent="0.35">
      <c r="E14" s="103" t="s">
        <v>68</v>
      </c>
      <c r="F14" s="103"/>
      <c r="G14" s="103" t="s">
        <v>89</v>
      </c>
      <c r="H14" s="103"/>
    </row>
    <row r="15" spans="4:13" x14ac:dyDescent="0.35">
      <c r="D15" t="s">
        <v>71</v>
      </c>
      <c r="E15" t="s">
        <v>72</v>
      </c>
      <c r="F15" t="s">
        <v>73</v>
      </c>
      <c r="G15" t="s">
        <v>90</v>
      </c>
      <c r="H15" t="s">
        <v>91</v>
      </c>
      <c r="I15" t="s">
        <v>76</v>
      </c>
      <c r="J15" t="s">
        <v>77</v>
      </c>
      <c r="K15" t="s">
        <v>78</v>
      </c>
      <c r="L15" t="s">
        <v>79</v>
      </c>
    </row>
    <row r="16" spans="4:13" x14ac:dyDescent="0.35">
      <c r="D16">
        <v>3</v>
      </c>
      <c r="E16">
        <v>10</v>
      </c>
      <c r="F16">
        <v>5</v>
      </c>
      <c r="G16" t="s">
        <v>92</v>
      </c>
      <c r="I16" t="s">
        <v>93</v>
      </c>
    </row>
    <row r="17" spans="4:12" x14ac:dyDescent="0.35">
      <c r="D17">
        <v>1</v>
      </c>
      <c r="E17">
        <v>9</v>
      </c>
      <c r="F17">
        <v>4</v>
      </c>
      <c r="G17" t="s">
        <v>94</v>
      </c>
      <c r="J17" t="s">
        <v>93</v>
      </c>
    </row>
    <row r="18" spans="4:12" x14ac:dyDescent="0.35">
      <c r="D18">
        <v>0</v>
      </c>
      <c r="E18">
        <v>8</v>
      </c>
      <c r="F18">
        <v>3</v>
      </c>
      <c r="G18" t="s">
        <v>95</v>
      </c>
      <c r="K18" t="s">
        <v>96</v>
      </c>
    </row>
    <row r="19" spans="4:12" x14ac:dyDescent="0.35">
      <c r="D19">
        <v>2</v>
      </c>
      <c r="E19">
        <v>7</v>
      </c>
      <c r="F19">
        <v>2</v>
      </c>
      <c r="G19" t="s">
        <v>94</v>
      </c>
      <c r="L19" t="s">
        <v>93</v>
      </c>
    </row>
    <row r="20" spans="4:12" x14ac:dyDescent="0.35">
      <c r="D20">
        <v>4</v>
      </c>
      <c r="E20">
        <v>6</v>
      </c>
      <c r="F20">
        <v>1</v>
      </c>
      <c r="G20" t="s">
        <v>94</v>
      </c>
    </row>
    <row r="29" spans="4:12" x14ac:dyDescent="0.35">
      <c r="G29" t="s">
        <v>97</v>
      </c>
      <c r="K29" t="s">
        <v>98</v>
      </c>
    </row>
    <row r="31" spans="4:12" x14ac:dyDescent="0.35">
      <c r="G31" t="s">
        <v>99</v>
      </c>
      <c r="K31" t="s">
        <v>100</v>
      </c>
    </row>
    <row r="32" spans="4:12" x14ac:dyDescent="0.35">
      <c r="G32" t="s">
        <v>101</v>
      </c>
      <c r="K32" t="s">
        <v>102</v>
      </c>
    </row>
    <row r="33" spans="7:11" x14ac:dyDescent="0.35">
      <c r="G33" t="s">
        <v>103</v>
      </c>
      <c r="K33" t="s">
        <v>104</v>
      </c>
    </row>
  </sheetData>
  <mergeCells count="5">
    <mergeCell ref="G14:H14"/>
    <mergeCell ref="E2:F2"/>
    <mergeCell ref="D1:L1"/>
    <mergeCell ref="D13:L13"/>
    <mergeCell ref="E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AC7F-7263-4B25-8FC5-140AF7C4D14E}">
  <dimension ref="A5:W69"/>
  <sheetViews>
    <sheetView topLeftCell="A50" zoomScale="85" zoomScaleNormal="85" workbookViewId="0">
      <selection activeCell="F64" sqref="F64"/>
    </sheetView>
  </sheetViews>
  <sheetFormatPr defaultColWidth="9.08984375" defaultRowHeight="14.5" x14ac:dyDescent="0.35"/>
  <cols>
    <col min="1" max="1" width="10" bestFit="1" customWidth="1"/>
    <col min="2" max="2" width="31.36328125" bestFit="1" customWidth="1"/>
    <col min="3" max="3" width="21.54296875" bestFit="1" customWidth="1"/>
    <col min="4" max="4" width="15.453125" bestFit="1" customWidth="1"/>
    <col min="5" max="5" width="45.54296875" bestFit="1" customWidth="1"/>
    <col min="6" max="6" width="54" bestFit="1" customWidth="1"/>
    <col min="7" max="7" width="10.6328125" customWidth="1"/>
    <col min="8" max="8" width="12.453125" bestFit="1" customWidth="1"/>
    <col min="9" max="9" width="12.453125" customWidth="1"/>
    <col min="10" max="10" width="10.08984375" bestFit="1" customWidth="1"/>
  </cols>
  <sheetData>
    <row r="5" spans="1:14" x14ac:dyDescent="0.35">
      <c r="A5" t="s">
        <v>105</v>
      </c>
      <c r="B5" s="106" t="s">
        <v>106</v>
      </c>
      <c r="C5" s="106"/>
    </row>
    <row r="6" spans="1:14" x14ac:dyDescent="0.35">
      <c r="A6" s="83" t="s">
        <v>107</v>
      </c>
      <c r="B6" s="83" t="s">
        <v>108</v>
      </c>
      <c r="C6" s="83" t="s">
        <v>109</v>
      </c>
      <c r="D6" s="83" t="s">
        <v>110</v>
      </c>
      <c r="E6" s="83" t="s">
        <v>111</v>
      </c>
      <c r="F6" s="83" t="s">
        <v>112</v>
      </c>
      <c r="G6" s="83" t="s">
        <v>113</v>
      </c>
      <c r="H6" s="83" t="s">
        <v>114</v>
      </c>
      <c r="I6" s="22" t="s">
        <v>115</v>
      </c>
    </row>
    <row r="7" spans="1:14" x14ac:dyDescent="0.35">
      <c r="A7" s="83">
        <v>3</v>
      </c>
      <c r="B7" s="83" t="s">
        <v>116</v>
      </c>
      <c r="C7" s="83" t="s">
        <v>117</v>
      </c>
      <c r="D7" s="83">
        <v>44</v>
      </c>
      <c r="E7" s="83" t="s">
        <v>118</v>
      </c>
      <c r="F7" s="83"/>
      <c r="G7" s="84">
        <f>AVERAGE('[1]Mass_CG Raw Data'!I43:M43)</f>
        <v>39.726143711042361</v>
      </c>
      <c r="H7" s="84">
        <f>AVERAGE('[1]Mass_CG Raw Data'!F43:H43)</f>
        <v>36.900073496969164</v>
      </c>
      <c r="I7" s="22">
        <f>115+137.4</f>
        <v>252.4</v>
      </c>
    </row>
    <row r="8" spans="1:14" x14ac:dyDescent="0.35">
      <c r="A8" s="83">
        <v>1</v>
      </c>
      <c r="B8" s="83" t="s">
        <v>119</v>
      </c>
      <c r="C8" s="83" t="s">
        <v>120</v>
      </c>
      <c r="D8" s="83">
        <v>30</v>
      </c>
      <c r="E8" s="83" t="s">
        <v>121</v>
      </c>
      <c r="F8" s="83"/>
      <c r="G8" s="84">
        <f>AVERAGE('[1]Mass_CG Raw Data'!I44:M44)</f>
        <v>50.049198087337402</v>
      </c>
      <c r="H8" s="84">
        <f>AVERAGE('[1]Mass_CG Raw Data'!F44:H44)</f>
        <v>37.202886031414629</v>
      </c>
      <c r="I8" s="22">
        <f>115+140+20</f>
        <v>275</v>
      </c>
    </row>
    <row r="9" spans="1:14" x14ac:dyDescent="0.35">
      <c r="A9" s="83">
        <v>0</v>
      </c>
      <c r="B9" s="83" t="s">
        <v>122</v>
      </c>
      <c r="C9" s="83" t="s">
        <v>123</v>
      </c>
      <c r="D9" s="83">
        <v>38</v>
      </c>
      <c r="E9" s="83" t="s">
        <v>124</v>
      </c>
      <c r="F9" s="83" t="s">
        <v>125</v>
      </c>
      <c r="G9" s="84">
        <f>AVERAGE('[1]Mass_CG Raw Data'!I45:M45)</f>
        <v>30.404135422729485</v>
      </c>
      <c r="H9" s="84">
        <f>AVERAGE('[1]Mass_CG Raw Data'!F45:H45)</f>
        <v>47.999263901614455</v>
      </c>
      <c r="I9" s="22">
        <f>965</f>
        <v>965</v>
      </c>
    </row>
    <row r="10" spans="1:14" x14ac:dyDescent="0.35">
      <c r="A10" s="83">
        <v>2</v>
      </c>
      <c r="B10" s="83" t="s">
        <v>126</v>
      </c>
      <c r="C10" s="83" t="s">
        <v>123</v>
      </c>
      <c r="D10" s="83">
        <v>50</v>
      </c>
      <c r="E10" s="83" t="s">
        <v>127</v>
      </c>
      <c r="F10" s="83" t="s">
        <v>128</v>
      </c>
      <c r="G10" s="84">
        <f>AVERAGE('[1]Mass_CG Raw Data'!I46:M46)</f>
        <v>50.990226010799852</v>
      </c>
      <c r="H10" s="84">
        <f>AVERAGE('[1]Mass_CG Raw Data'!F46:H46)</f>
        <v>40.917999198268639</v>
      </c>
      <c r="I10" s="22">
        <f>120+115</f>
        <v>235</v>
      </c>
    </row>
    <row r="11" spans="1:14" x14ac:dyDescent="0.35">
      <c r="A11" s="83">
        <v>4</v>
      </c>
      <c r="B11" s="83" t="s">
        <v>129</v>
      </c>
      <c r="C11" s="83" t="s">
        <v>117</v>
      </c>
      <c r="D11" s="83">
        <v>27</v>
      </c>
      <c r="E11" s="83" t="s">
        <v>130</v>
      </c>
      <c r="F11" s="83"/>
      <c r="G11" s="84">
        <f>AVERAGE('[1]Mass_CG Raw Data'!I47:M47)</f>
        <v>34.251016754309418</v>
      </c>
      <c r="H11" s="84">
        <f>AVERAGE('[1]Mass_CG Raw Data'!F47:H47)</f>
        <v>20.816169832880959</v>
      </c>
      <c r="I11" s="22">
        <f>115+139.1</f>
        <v>254.1</v>
      </c>
    </row>
    <row r="14" spans="1:14" x14ac:dyDescent="0.35">
      <c r="A14" t="s">
        <v>131</v>
      </c>
      <c r="B14" s="106" t="s">
        <v>106</v>
      </c>
      <c r="C14" s="106"/>
      <c r="J14" s="105" t="s">
        <v>132</v>
      </c>
      <c r="K14" s="105"/>
      <c r="L14" s="105"/>
      <c r="M14" s="105"/>
    </row>
    <row r="15" spans="1:14" x14ac:dyDescent="0.35">
      <c r="A15" s="83" t="s">
        <v>107</v>
      </c>
      <c r="B15" s="83" t="s">
        <v>133</v>
      </c>
      <c r="C15" s="83" t="s">
        <v>109</v>
      </c>
      <c r="D15" s="83" t="s">
        <v>134</v>
      </c>
      <c r="E15" s="83" t="s">
        <v>111</v>
      </c>
      <c r="F15" s="83" t="s">
        <v>112</v>
      </c>
      <c r="G15" s="83" t="s">
        <v>135</v>
      </c>
      <c r="H15" s="83" t="s">
        <v>114</v>
      </c>
      <c r="I15" s="83" t="s">
        <v>136</v>
      </c>
      <c r="J15" s="83" t="s">
        <v>115</v>
      </c>
      <c r="K15" s="83" t="s">
        <v>137</v>
      </c>
      <c r="L15" s="83" t="s">
        <v>138</v>
      </c>
      <c r="M15" s="83" t="s">
        <v>139</v>
      </c>
      <c r="N15" s="83" t="s">
        <v>140</v>
      </c>
    </row>
    <row r="16" spans="1:14" x14ac:dyDescent="0.35">
      <c r="A16" s="83">
        <v>3</v>
      </c>
      <c r="B16" s="83" t="s">
        <v>116</v>
      </c>
      <c r="C16" s="83" t="s">
        <v>117</v>
      </c>
      <c r="D16" s="83">
        <v>37</v>
      </c>
      <c r="E16" s="83" t="s">
        <v>141</v>
      </c>
      <c r="F16" s="83"/>
      <c r="G16" s="84">
        <f>AVERAGE('[1]Mass_CG Raw Data'!N43:P43)</f>
        <v>30.905589094055021</v>
      </c>
      <c r="H16" s="84">
        <f>AVERAGE('[1]Mass_CG Raw Data'!EJ43:EL43)</f>
        <v>38.702723957512156</v>
      </c>
      <c r="I16" s="84">
        <f>AVERAGE('[1]Mass_CG Raw Data'!EM43:EQ43)</f>
        <v>36.989678950511404</v>
      </c>
      <c r="J16" s="83">
        <f>114+137.4+201.1</f>
        <v>452.5</v>
      </c>
      <c r="K16" s="83">
        <f>201.1+137.4</f>
        <v>338.5</v>
      </c>
      <c r="L16" s="83">
        <f>210.5</f>
        <v>210.5</v>
      </c>
      <c r="M16" s="83">
        <f>J16-K16+210.5</f>
        <v>324.5</v>
      </c>
      <c r="N16" s="85" t="s">
        <v>142</v>
      </c>
    </row>
    <row r="17" spans="1:14" x14ac:dyDescent="0.35">
      <c r="A17" s="83">
        <v>1</v>
      </c>
      <c r="B17" s="83" t="s">
        <v>143</v>
      </c>
      <c r="C17" s="83" t="s">
        <v>144</v>
      </c>
      <c r="D17" s="83">
        <v>32</v>
      </c>
      <c r="E17" s="83" t="s">
        <v>145</v>
      </c>
      <c r="F17" s="83" t="s">
        <v>146</v>
      </c>
      <c r="G17" s="84">
        <f>AVERAGE('[1]Mass_CG Raw Data'!N44:P44)</f>
        <v>51.499999999999993</v>
      </c>
      <c r="H17" s="84">
        <f>AVERAGE('[1]Mass_CG Raw Data'!EJ44:EL44)</f>
        <v>32.235389768016638</v>
      </c>
      <c r="I17" s="84">
        <f>AVERAGE('[1]Mass_CG Raw Data'!EM44:EQ44)</f>
        <v>37.118328875440014</v>
      </c>
      <c r="J17" s="83">
        <f>114+140.9</f>
        <v>254.9</v>
      </c>
      <c r="K17" s="83">
        <v>140.9</v>
      </c>
      <c r="L17" s="83">
        <f>225.3+40.1</f>
        <v>265.40000000000003</v>
      </c>
      <c r="M17" s="83">
        <f>J17-K17+L17</f>
        <v>379.40000000000003</v>
      </c>
      <c r="N17" s="85"/>
    </row>
    <row r="18" spans="1:14" x14ac:dyDescent="0.35">
      <c r="A18" s="83">
        <v>0</v>
      </c>
      <c r="B18" s="83" t="s">
        <v>147</v>
      </c>
      <c r="C18" s="83" t="s">
        <v>123</v>
      </c>
      <c r="D18" s="83">
        <v>46</v>
      </c>
      <c r="E18" s="83" t="s">
        <v>148</v>
      </c>
      <c r="F18" s="83"/>
      <c r="G18" s="84">
        <f>AVERAGE('[1]Mass_CG Raw Data'!N45:P45)</f>
        <v>41.156498822321574</v>
      </c>
      <c r="H18" s="84">
        <f>AVERAGE('[1]Mass_CG Raw Data'!EJ45:EL45)</f>
        <v>45.84028199300792</v>
      </c>
      <c r="I18" s="84">
        <f>AVERAGE('[1]Mass_CG Raw Data'!EM45:EQ45)</f>
        <v>47.054930499299225</v>
      </c>
      <c r="J18" s="83">
        <v>810.2</v>
      </c>
      <c r="K18" s="83">
        <v>120</v>
      </c>
      <c r="L18" s="83">
        <v>272.8</v>
      </c>
      <c r="M18" s="83">
        <f>J18-K18+L18</f>
        <v>963</v>
      </c>
      <c r="N18" s="85"/>
    </row>
    <row r="19" spans="1:14" x14ac:dyDescent="0.35">
      <c r="A19" s="83">
        <v>2</v>
      </c>
      <c r="B19" s="83" t="s">
        <v>149</v>
      </c>
      <c r="C19" s="83" t="s">
        <v>150</v>
      </c>
      <c r="D19" s="83">
        <v>47</v>
      </c>
      <c r="E19" s="83" t="s">
        <v>151</v>
      </c>
      <c r="F19" s="83" t="s">
        <v>152</v>
      </c>
      <c r="G19" s="84">
        <f>AVERAGE('[1]Mass_CG Raw Data'!N46:P46)</f>
        <v>51.499999999999993</v>
      </c>
      <c r="H19" s="84">
        <f>AVERAGE('[1]Mass_CG Raw Data'!EJ46:EL46)</f>
        <v>50.406433977867323</v>
      </c>
      <c r="I19" s="84">
        <f>AVERAGE('[1]Mass_CG Raw Data'!EM46:EQ46)</f>
        <v>51.369218299969624</v>
      </c>
      <c r="J19" s="83">
        <f>115+272.8</f>
        <v>387.8</v>
      </c>
      <c r="K19" s="83">
        <v>272.8</v>
      </c>
      <c r="L19" s="83">
        <v>120</v>
      </c>
      <c r="M19" s="83">
        <f>J19-K19+L19</f>
        <v>235</v>
      </c>
      <c r="N19" s="85"/>
    </row>
    <row r="20" spans="1:14" x14ac:dyDescent="0.35">
      <c r="A20" s="83">
        <v>4</v>
      </c>
      <c r="B20" s="83" t="s">
        <v>129</v>
      </c>
      <c r="C20" s="83" t="s">
        <v>153</v>
      </c>
      <c r="D20" s="83">
        <v>25</v>
      </c>
      <c r="E20" s="83" t="s">
        <v>154</v>
      </c>
      <c r="F20" s="83" t="s">
        <v>155</v>
      </c>
      <c r="G20" s="84">
        <f>AVERAGE('[1]Mass_CG Raw Data'!N47:P47)</f>
        <v>29.666038374096591</v>
      </c>
      <c r="H20" s="84">
        <f>AVERAGE('[1]Mass_CG Raw Data'!EJ47:EL47)</f>
        <v>23.428081106581647</v>
      </c>
      <c r="I20" s="84">
        <f>AVERAGE('[1]Mass_CG Raw Data'!EM47:EQ47)</f>
        <v>23.480394134690368</v>
      </c>
      <c r="J20" s="83">
        <v>457.5</v>
      </c>
      <c r="K20" s="83">
        <v>199.8</v>
      </c>
      <c r="L20" s="83">
        <v>190.7</v>
      </c>
      <c r="M20" s="83">
        <f>J20-K20+L20</f>
        <v>448.4</v>
      </c>
      <c r="N20" s="85" t="s">
        <v>156</v>
      </c>
    </row>
    <row r="21" spans="1:14" x14ac:dyDescent="0.35">
      <c r="M21" s="86"/>
    </row>
    <row r="23" spans="1:14" x14ac:dyDescent="0.35">
      <c r="A23" t="s">
        <v>157</v>
      </c>
      <c r="B23" s="106" t="s">
        <v>106</v>
      </c>
      <c r="C23" s="106"/>
    </row>
    <row r="24" spans="1:14" x14ac:dyDescent="0.35">
      <c r="A24" s="83" t="s">
        <v>107</v>
      </c>
      <c r="B24" s="83" t="s">
        <v>133</v>
      </c>
      <c r="C24" s="83" t="s">
        <v>109</v>
      </c>
      <c r="D24" s="83" t="s">
        <v>134</v>
      </c>
      <c r="E24" s="83" t="s">
        <v>111</v>
      </c>
      <c r="F24" s="83" t="s">
        <v>112</v>
      </c>
      <c r="G24" s="83" t="s">
        <v>135</v>
      </c>
      <c r="H24" s="83" t="s">
        <v>114</v>
      </c>
      <c r="I24" s="83" t="s">
        <v>136</v>
      </c>
    </row>
    <row r="25" spans="1:14" x14ac:dyDescent="0.35">
      <c r="A25" s="83">
        <v>3</v>
      </c>
      <c r="B25" s="83" t="s">
        <v>158</v>
      </c>
      <c r="C25" s="83" t="s">
        <v>117</v>
      </c>
      <c r="D25" s="84">
        <f>'[1]Summary '!O43</f>
        <v>34.435229142354423</v>
      </c>
      <c r="E25" t="s">
        <v>118</v>
      </c>
      <c r="F25" s="83"/>
      <c r="G25" s="84">
        <f>'[1]ATV Only Summary'!B40</f>
        <v>37.171659949187635</v>
      </c>
      <c r="H25" s="84"/>
      <c r="I25" s="84"/>
    </row>
    <row r="26" spans="1:14" x14ac:dyDescent="0.35">
      <c r="A26" s="83">
        <v>1</v>
      </c>
      <c r="B26" s="83" t="s">
        <v>159</v>
      </c>
      <c r="C26" s="83" t="s">
        <v>160</v>
      </c>
      <c r="D26" s="84">
        <f>'[1]Summary '!O44</f>
        <v>37.733484840131204</v>
      </c>
      <c r="E26" s="83" t="s">
        <v>161</v>
      </c>
      <c r="F26" s="83"/>
      <c r="G26" s="84">
        <f>'[1]ATV Only Summary'!B41</f>
        <v>47.684076697520744</v>
      </c>
      <c r="H26" s="84"/>
      <c r="I26" s="84"/>
    </row>
    <row r="27" spans="1:14" x14ac:dyDescent="0.35">
      <c r="A27" s="83">
        <v>0</v>
      </c>
      <c r="B27" s="83" t="s">
        <v>162</v>
      </c>
      <c r="C27" s="83" t="s">
        <v>123</v>
      </c>
      <c r="D27" s="84">
        <f>'[1]Summary '!O45</f>
        <v>41.38478272975911</v>
      </c>
      <c r="E27" s="83" t="s">
        <v>163</v>
      </c>
      <c r="F27" s="83"/>
      <c r="G27" s="84">
        <f>'[1]ATV Only Summary'!B42</f>
        <v>34.206952000490709</v>
      </c>
      <c r="H27" s="84"/>
      <c r="I27" s="84"/>
    </row>
    <row r="28" spans="1:14" x14ac:dyDescent="0.35">
      <c r="A28" s="83">
        <v>2</v>
      </c>
      <c r="B28" s="83" t="s">
        <v>164</v>
      </c>
      <c r="C28" s="83" t="s">
        <v>165</v>
      </c>
      <c r="D28" s="84">
        <f>'[1]Summary '!O46</f>
        <v>44.772644260829409</v>
      </c>
      <c r="E28" s="83" t="s">
        <v>118</v>
      </c>
      <c r="F28" s="83"/>
      <c r="G28" s="84">
        <f>'[1]ATV Only Summary'!B43</f>
        <v>44.388213520032821</v>
      </c>
      <c r="H28" s="84"/>
      <c r="I28" s="84"/>
    </row>
    <row r="29" spans="1:14" x14ac:dyDescent="0.35">
      <c r="A29" s="83">
        <v>4</v>
      </c>
      <c r="B29" s="83" t="s">
        <v>166</v>
      </c>
      <c r="C29" s="83" t="s">
        <v>153</v>
      </c>
      <c r="D29" s="84">
        <f>'[1]Summary '!O47</f>
        <v>32.260510585419937</v>
      </c>
      <c r="E29" s="83" t="s">
        <v>167</v>
      </c>
      <c r="F29" s="83"/>
      <c r="G29" s="84">
        <f>'[1]ATV Only Summary'!B44</f>
        <v>39.535339695544444</v>
      </c>
      <c r="H29" s="84"/>
      <c r="I29" s="84"/>
    </row>
    <row r="31" spans="1:14" x14ac:dyDescent="0.35">
      <c r="C31" s="22"/>
    </row>
    <row r="32" spans="1:14" x14ac:dyDescent="0.35">
      <c r="A32" s="87">
        <v>43317</v>
      </c>
      <c r="B32" s="106" t="s">
        <v>106</v>
      </c>
      <c r="C32" s="106"/>
    </row>
    <row r="33" spans="1:23" x14ac:dyDescent="0.35">
      <c r="A33" s="83" t="s">
        <v>107</v>
      </c>
      <c r="B33" s="83" t="s">
        <v>133</v>
      </c>
      <c r="C33" s="83" t="s">
        <v>109</v>
      </c>
      <c r="D33" s="83" t="s">
        <v>134</v>
      </c>
      <c r="E33" s="83" t="s">
        <v>111</v>
      </c>
      <c r="F33" s="83" t="s">
        <v>112</v>
      </c>
      <c r="G33" s="83" t="s">
        <v>135</v>
      </c>
      <c r="H33" s="83" t="s">
        <v>114</v>
      </c>
      <c r="I33" s="83" t="s">
        <v>136</v>
      </c>
      <c r="J33" s="105" t="s">
        <v>168</v>
      </c>
      <c r="K33" s="105"/>
      <c r="L33" s="105"/>
      <c r="M33" s="105"/>
      <c r="N33" s="105" t="s">
        <v>169</v>
      </c>
      <c r="O33" s="105"/>
      <c r="P33" s="105"/>
      <c r="Q33" s="105"/>
      <c r="R33" s="105" t="s">
        <v>170</v>
      </c>
      <c r="S33" s="105"/>
      <c r="T33" s="105"/>
      <c r="U33" s="105"/>
    </row>
    <row r="34" spans="1:23" x14ac:dyDescent="0.35">
      <c r="A34" s="83">
        <v>3</v>
      </c>
      <c r="B34" s="83" t="s">
        <v>158</v>
      </c>
      <c r="C34" s="83" t="s">
        <v>171</v>
      </c>
      <c r="D34" s="7">
        <v>39.528887073894168</v>
      </c>
      <c r="E34" t="s">
        <v>172</v>
      </c>
      <c r="F34" s="83" t="s">
        <v>173</v>
      </c>
      <c r="G34" s="88">
        <v>37.554795946290085</v>
      </c>
      <c r="H34" s="84"/>
      <c r="I34" s="84"/>
      <c r="J34" s="83" t="s">
        <v>115</v>
      </c>
      <c r="K34" s="83" t="s">
        <v>137</v>
      </c>
      <c r="L34" s="83" t="s">
        <v>138</v>
      </c>
      <c r="M34" s="83" t="s">
        <v>139</v>
      </c>
      <c r="N34" s="83" t="s">
        <v>115</v>
      </c>
      <c r="O34" s="83" t="s">
        <v>137</v>
      </c>
      <c r="P34" s="83" t="s">
        <v>138</v>
      </c>
      <c r="Q34" s="83" t="s">
        <v>139</v>
      </c>
      <c r="R34" s="83" t="s">
        <v>115</v>
      </c>
      <c r="S34" s="83" t="s">
        <v>137</v>
      </c>
      <c r="T34" s="83" t="s">
        <v>138</v>
      </c>
      <c r="U34" s="83" t="s">
        <v>139</v>
      </c>
    </row>
    <row r="35" spans="1:23" x14ac:dyDescent="0.35">
      <c r="A35" s="83">
        <v>1</v>
      </c>
      <c r="B35" s="83" t="s">
        <v>174</v>
      </c>
      <c r="C35" s="83" t="s">
        <v>175</v>
      </c>
      <c r="D35" s="7">
        <v>11.157142857142857</v>
      </c>
      <c r="E35" s="83" t="s">
        <v>176</v>
      </c>
      <c r="F35" s="83"/>
      <c r="G35" s="88">
        <v>37.896967430672944</v>
      </c>
      <c r="H35" s="84"/>
      <c r="I35" s="84"/>
      <c r="J35" s="83">
        <v>324.5</v>
      </c>
      <c r="K35" s="83">
        <v>210.5</v>
      </c>
      <c r="L35" s="83">
        <v>274.5</v>
      </c>
      <c r="M35" s="83">
        <f>J35-K35+L35</f>
        <v>388.5</v>
      </c>
      <c r="N35" s="83">
        <v>388.5</v>
      </c>
      <c r="O35" s="83">
        <v>274.8</v>
      </c>
      <c r="P35" s="83">
        <f>36.8+139.1</f>
        <v>175.89999999999998</v>
      </c>
      <c r="Q35" s="83">
        <f>N35-O35+P35</f>
        <v>289.59999999999997</v>
      </c>
      <c r="R35" s="83">
        <v>289.59999999999997</v>
      </c>
      <c r="S35" s="83"/>
      <c r="T35" s="83">
        <v>100.3</v>
      </c>
      <c r="U35" s="83">
        <f>R35-S35+T35</f>
        <v>389.9</v>
      </c>
      <c r="V35">
        <f>114+36.8+139.1+100.3</f>
        <v>390.2</v>
      </c>
      <c r="W35">
        <f>114+139+36.8</f>
        <v>289.8</v>
      </c>
    </row>
    <row r="36" spans="1:23" x14ac:dyDescent="0.35">
      <c r="A36" s="83">
        <v>0</v>
      </c>
      <c r="B36" s="83" t="s">
        <v>162</v>
      </c>
      <c r="C36" s="83" t="s">
        <v>177</v>
      </c>
      <c r="D36" s="7">
        <v>40.258166052975398</v>
      </c>
      <c r="E36" s="83" t="s">
        <v>178</v>
      </c>
      <c r="F36" s="83"/>
      <c r="G36" s="88">
        <v>37.017031305568338</v>
      </c>
      <c r="H36" s="84"/>
      <c r="I36" s="84"/>
      <c r="J36" s="83">
        <v>379.40000000000003</v>
      </c>
      <c r="K36" s="83"/>
      <c r="L36" s="83"/>
      <c r="M36" s="83">
        <f>J36-K36+L36</f>
        <v>379.40000000000003</v>
      </c>
      <c r="N36" s="83">
        <v>379.40000000000003</v>
      </c>
      <c r="O36" s="83">
        <v>41.8</v>
      </c>
      <c r="P36" s="83">
        <v>140.9</v>
      </c>
      <c r="Q36" s="83">
        <f>N36-O36+P36</f>
        <v>478.5</v>
      </c>
      <c r="R36" s="83">
        <v>478.5</v>
      </c>
      <c r="S36" s="83">
        <v>140.9</v>
      </c>
      <c r="T36" s="83">
        <v>40</v>
      </c>
      <c r="U36" s="83">
        <f>R36-S36+T36</f>
        <v>377.6</v>
      </c>
      <c r="V36">
        <f>224+40+114</f>
        <v>378</v>
      </c>
    </row>
    <row r="37" spans="1:23" x14ac:dyDescent="0.35">
      <c r="A37" s="83">
        <v>2</v>
      </c>
      <c r="B37" s="83" t="s">
        <v>164</v>
      </c>
      <c r="C37" s="83" t="s">
        <v>165</v>
      </c>
      <c r="D37" s="7">
        <v>44.160037878787875</v>
      </c>
      <c r="E37" s="83" t="s">
        <v>179</v>
      </c>
      <c r="F37" s="83"/>
      <c r="G37" s="88">
        <v>37.883081969007655</v>
      </c>
      <c r="H37" s="84"/>
      <c r="I37" s="84"/>
      <c r="J37" s="83">
        <v>963</v>
      </c>
      <c r="K37" s="83">
        <v>272.8</v>
      </c>
      <c r="L37" s="83">
        <v>120</v>
      </c>
      <c r="M37" s="83">
        <f>J37-K37+L37</f>
        <v>810.2</v>
      </c>
      <c r="N37" s="83">
        <v>810.2</v>
      </c>
      <c r="O37" s="83"/>
      <c r="P37" s="83"/>
      <c r="Q37" s="83">
        <f>N37-O37+P37</f>
        <v>810.2</v>
      </c>
      <c r="R37" s="83">
        <v>810.2</v>
      </c>
      <c r="S37" s="83"/>
      <c r="T37" s="83"/>
      <c r="U37" s="83">
        <f>R37-S37+T37</f>
        <v>810.2</v>
      </c>
      <c r="W37">
        <v>810.2</v>
      </c>
    </row>
    <row r="38" spans="1:23" x14ac:dyDescent="0.35">
      <c r="A38" s="83">
        <v>4</v>
      </c>
      <c r="B38" s="83" t="s">
        <v>166</v>
      </c>
      <c r="C38" s="83" t="s">
        <v>180</v>
      </c>
      <c r="D38" s="7">
        <v>43.626930885338503</v>
      </c>
      <c r="E38" s="89" t="s">
        <v>181</v>
      </c>
      <c r="F38" s="83"/>
      <c r="G38" s="88">
        <v>37.697666251513191</v>
      </c>
      <c r="H38" s="84"/>
      <c r="I38" s="84"/>
      <c r="J38" s="83">
        <v>235</v>
      </c>
      <c r="K38" s="83">
        <v>120</v>
      </c>
      <c r="L38" s="83">
        <v>272.8</v>
      </c>
      <c r="M38" s="83">
        <f>J38-K38+L38</f>
        <v>387.8</v>
      </c>
      <c r="N38" s="83">
        <v>387.8</v>
      </c>
      <c r="O38" s="83"/>
      <c r="P38" s="83"/>
      <c r="Q38" s="83">
        <f>N38-O38+P38</f>
        <v>387.8</v>
      </c>
      <c r="R38" s="83">
        <v>387.8</v>
      </c>
      <c r="S38" s="83"/>
      <c r="T38" s="83"/>
      <c r="U38" s="83">
        <f>R38-S38+T38</f>
        <v>387.8</v>
      </c>
      <c r="V38">
        <f>115+272.8</f>
        <v>387.8</v>
      </c>
      <c r="W38">
        <f>272.8+115</f>
        <v>387.8</v>
      </c>
    </row>
    <row r="39" spans="1:23" x14ac:dyDescent="0.35">
      <c r="G39" s="90"/>
      <c r="J39" s="83">
        <v>448.4</v>
      </c>
      <c r="K39" s="83">
        <f>190.7+139.1</f>
        <v>329.79999999999995</v>
      </c>
      <c r="L39" s="83">
        <f>219.3+50.4</f>
        <v>269.7</v>
      </c>
      <c r="M39" s="83">
        <f>J39-K39+L39</f>
        <v>388.3</v>
      </c>
      <c r="N39" s="83">
        <v>388.3</v>
      </c>
      <c r="O39" s="83"/>
      <c r="P39" s="83"/>
      <c r="Q39" s="83">
        <f>N39-O39+P39</f>
        <v>388.3</v>
      </c>
      <c r="R39" s="83">
        <v>388.3</v>
      </c>
      <c r="S39" s="83"/>
      <c r="T39" s="83"/>
      <c r="U39" s="83">
        <f>R39-S39+T39</f>
        <v>388.3</v>
      </c>
      <c r="V39">
        <f>115+274.4</f>
        <v>389.4</v>
      </c>
      <c r="W39">
        <f>219.3+50.4+115</f>
        <v>384.7</v>
      </c>
    </row>
    <row r="40" spans="1:23" x14ac:dyDescent="0.35">
      <c r="A40" s="87">
        <v>43266</v>
      </c>
    </row>
    <row r="41" spans="1:23" ht="27.75" customHeight="1" x14ac:dyDescent="0.35">
      <c r="A41" s="98" t="s">
        <v>107</v>
      </c>
      <c r="B41" s="98" t="s">
        <v>182</v>
      </c>
      <c r="C41" s="98" t="s">
        <v>183</v>
      </c>
      <c r="D41" s="93" t="s">
        <v>184</v>
      </c>
      <c r="E41" s="98" t="s">
        <v>185</v>
      </c>
    </row>
    <row r="42" spans="1:23" x14ac:dyDescent="0.35">
      <c r="A42" s="98">
        <v>3</v>
      </c>
      <c r="B42" s="98">
        <f>13+6</f>
        <v>19</v>
      </c>
      <c r="C42" s="98">
        <f>36.8+139.1+114</f>
        <v>289.89999999999998</v>
      </c>
      <c r="D42" s="98">
        <f>C42-B42</f>
        <v>270.89999999999998</v>
      </c>
      <c r="E42" s="98">
        <v>301</v>
      </c>
    </row>
    <row r="43" spans="1:23" x14ac:dyDescent="0.35">
      <c r="A43" s="98">
        <v>1</v>
      </c>
      <c r="B43" s="98">
        <f>27+19</f>
        <v>46</v>
      </c>
      <c r="C43" s="98">
        <v>377.6</v>
      </c>
      <c r="D43" s="98">
        <f>C43-B43</f>
        <v>331.6</v>
      </c>
      <c r="E43" s="98">
        <v>431.4</v>
      </c>
    </row>
    <row r="44" spans="1:23" x14ac:dyDescent="0.35">
      <c r="A44" s="98" t="s">
        <v>186</v>
      </c>
      <c r="B44" s="98">
        <f>10+1+38+12+1</f>
        <v>62</v>
      </c>
      <c r="C44" s="98">
        <v>810.2</v>
      </c>
      <c r="D44" s="98">
        <f>C44-B44</f>
        <v>748.2</v>
      </c>
      <c r="E44" s="98">
        <v>802.4</v>
      </c>
    </row>
    <row r="45" spans="1:23" x14ac:dyDescent="0.35">
      <c r="A45" s="98">
        <v>2</v>
      </c>
      <c r="B45" s="98">
        <f>17+29+4+1</f>
        <v>51</v>
      </c>
      <c r="C45" s="98">
        <f>42.6+115+272.8</f>
        <v>430.4</v>
      </c>
      <c r="D45" s="98">
        <f>C45-B45</f>
        <v>379.4</v>
      </c>
      <c r="E45" s="98">
        <v>418.1</v>
      </c>
    </row>
    <row r="46" spans="1:23" x14ac:dyDescent="0.35">
      <c r="A46" s="98">
        <v>4</v>
      </c>
      <c r="B46" s="98">
        <v>19</v>
      </c>
      <c r="C46" s="98">
        <f>50.4+219.3+115</f>
        <v>384.7</v>
      </c>
      <c r="D46" s="98">
        <f>C46-B46</f>
        <v>365.7</v>
      </c>
      <c r="E46" s="98">
        <v>401.4</v>
      </c>
    </row>
    <row r="50" spans="1:10" x14ac:dyDescent="0.35">
      <c r="A50" s="103" t="s">
        <v>187</v>
      </c>
      <c r="B50" s="103"/>
      <c r="C50" s="103"/>
      <c r="D50" s="103"/>
      <c r="E50" s="103"/>
      <c r="F50" s="103"/>
      <c r="G50" s="103"/>
      <c r="H50" s="103"/>
      <c r="I50" s="103"/>
    </row>
    <row r="51" spans="1:10" x14ac:dyDescent="0.35">
      <c r="A51" s="87">
        <v>43580</v>
      </c>
      <c r="B51" s="105" t="s">
        <v>188</v>
      </c>
      <c r="C51" s="105"/>
      <c r="D51" s="105"/>
      <c r="E51" s="85"/>
      <c r="F51" s="85"/>
      <c r="G51" s="85"/>
      <c r="H51" s="85"/>
      <c r="I51" s="85"/>
      <c r="J51" s="19"/>
    </row>
    <row r="52" spans="1:10" x14ac:dyDescent="0.35">
      <c r="A52" s="98" t="s">
        <v>107</v>
      </c>
      <c r="B52" s="91">
        <v>43252</v>
      </c>
      <c r="C52" s="92">
        <v>43553</v>
      </c>
      <c r="D52" s="98" t="s">
        <v>189</v>
      </c>
      <c r="E52" s="98" t="s">
        <v>190</v>
      </c>
      <c r="F52" s="98" t="s">
        <v>191</v>
      </c>
      <c r="G52" s="98" t="s">
        <v>192</v>
      </c>
      <c r="H52" s="98" t="s">
        <v>193</v>
      </c>
      <c r="I52" s="83" t="s">
        <v>194</v>
      </c>
    </row>
    <row r="53" spans="1:10" x14ac:dyDescent="0.35">
      <c r="A53" s="98">
        <v>3</v>
      </c>
      <c r="B53" s="98">
        <v>389.9</v>
      </c>
      <c r="C53" s="98">
        <f>293.7+57.8</f>
        <v>351.5</v>
      </c>
      <c r="D53" s="98">
        <f>C53</f>
        <v>351.5</v>
      </c>
      <c r="E53" s="98">
        <f>D53</f>
        <v>351.5</v>
      </c>
      <c r="F53" s="98">
        <f>E53-57.8</f>
        <v>293.7</v>
      </c>
      <c r="G53" s="98">
        <f>F53</f>
        <v>293.7</v>
      </c>
      <c r="H53" s="98">
        <f>G53+30</f>
        <v>323.7</v>
      </c>
      <c r="I53" s="83" t="s">
        <v>195</v>
      </c>
    </row>
    <row r="54" spans="1:10" x14ac:dyDescent="0.35">
      <c r="A54" s="98">
        <v>1</v>
      </c>
      <c r="B54" s="98">
        <v>377.6</v>
      </c>
      <c r="C54" s="98">
        <v>431.3</v>
      </c>
      <c r="D54" s="98">
        <f>C54</f>
        <v>431.3</v>
      </c>
      <c r="E54" s="98">
        <f>D54+143.8</f>
        <v>575.1</v>
      </c>
      <c r="F54" s="98">
        <f>E54+57.8</f>
        <v>632.9</v>
      </c>
      <c r="G54" s="98">
        <f>F54-143.8</f>
        <v>489.09999999999997</v>
      </c>
      <c r="H54" s="98">
        <f>G54</f>
        <v>489.09999999999997</v>
      </c>
      <c r="I54" s="83" t="s">
        <v>196</v>
      </c>
    </row>
    <row r="55" spans="1:10" x14ac:dyDescent="0.35">
      <c r="A55" s="98">
        <v>0</v>
      </c>
      <c r="B55" s="98">
        <v>810.2</v>
      </c>
      <c r="C55" s="98">
        <f>813+143.8</f>
        <v>956.8</v>
      </c>
      <c r="D55" s="98">
        <f>C55</f>
        <v>956.8</v>
      </c>
      <c r="E55" s="98">
        <f>D55-143.8</f>
        <v>813</v>
      </c>
      <c r="F55" s="98">
        <f>E55</f>
        <v>813</v>
      </c>
      <c r="G55" s="98">
        <f>F55</f>
        <v>813</v>
      </c>
      <c r="H55" s="98">
        <f>G55</f>
        <v>813</v>
      </c>
      <c r="I55" s="83" t="s">
        <v>197</v>
      </c>
    </row>
    <row r="56" spans="1:10" x14ac:dyDescent="0.35">
      <c r="A56" s="98">
        <v>2</v>
      </c>
      <c r="B56" s="98">
        <v>387.8</v>
      </c>
      <c r="C56" s="98">
        <f>420.4</f>
        <v>420.4</v>
      </c>
      <c r="D56" s="98">
        <f>C56</f>
        <v>420.4</v>
      </c>
      <c r="E56" s="98">
        <f>D56</f>
        <v>420.4</v>
      </c>
      <c r="F56" s="98">
        <f>E56</f>
        <v>420.4</v>
      </c>
      <c r="G56" s="98">
        <v>417</v>
      </c>
      <c r="H56" s="98">
        <f>G56</f>
        <v>417</v>
      </c>
      <c r="I56" s="83" t="s">
        <v>195</v>
      </c>
    </row>
    <row r="57" spans="1:10" x14ac:dyDescent="0.35">
      <c r="A57" s="98">
        <v>4</v>
      </c>
      <c r="B57" s="98">
        <v>388.3</v>
      </c>
      <c r="C57" s="98">
        <v>417</v>
      </c>
      <c r="D57" s="98">
        <f>C57</f>
        <v>417</v>
      </c>
      <c r="E57" s="98">
        <f>D57</f>
        <v>417</v>
      </c>
      <c r="F57" s="98">
        <f>E57</f>
        <v>417</v>
      </c>
      <c r="G57" s="98">
        <f>F57</f>
        <v>417</v>
      </c>
      <c r="H57" s="98">
        <f>G57</f>
        <v>417</v>
      </c>
      <c r="I57" s="83" t="s">
        <v>195</v>
      </c>
    </row>
    <row r="58" spans="1:10" x14ac:dyDescent="0.35">
      <c r="A58" s="98" t="s">
        <v>198</v>
      </c>
      <c r="B58" s="98">
        <f>SUM(B53:B57)</f>
        <v>2353.8000000000002</v>
      </c>
      <c r="C58" s="98">
        <f>SUM(C53:C57)</f>
        <v>2577</v>
      </c>
      <c r="D58" s="98">
        <f t="shared" ref="D58:G58" si="0">SUM(D53:D57)</f>
        <v>2577</v>
      </c>
      <c r="E58" s="98">
        <f t="shared" si="0"/>
        <v>2577</v>
      </c>
      <c r="F58" s="98">
        <f t="shared" si="0"/>
        <v>2577</v>
      </c>
      <c r="G58" s="98">
        <f t="shared" si="0"/>
        <v>2429.8000000000002</v>
      </c>
      <c r="H58" s="98"/>
      <c r="I58" s="83"/>
    </row>
    <row r="61" spans="1:10" x14ac:dyDescent="0.35">
      <c r="A61" s="103" t="s">
        <v>199</v>
      </c>
      <c r="B61" s="103"/>
      <c r="C61" s="103"/>
      <c r="D61" s="103"/>
      <c r="E61" s="103"/>
      <c r="F61" s="103"/>
      <c r="G61" s="103"/>
      <c r="H61" s="103"/>
      <c r="I61" s="103"/>
    </row>
    <row r="62" spans="1:10" x14ac:dyDescent="0.35">
      <c r="A62" s="87">
        <v>43595</v>
      </c>
      <c r="B62" s="105" t="s">
        <v>188</v>
      </c>
      <c r="C62" s="105"/>
      <c r="D62" s="105"/>
      <c r="E62" s="85"/>
      <c r="F62" s="85"/>
      <c r="G62" s="85"/>
      <c r="H62" s="85"/>
      <c r="I62" s="85"/>
    </row>
    <row r="63" spans="1:10" s="96" customFormat="1" ht="29" x14ac:dyDescent="0.35">
      <c r="A63" s="93" t="s">
        <v>107</v>
      </c>
      <c r="B63" s="94">
        <v>43580</v>
      </c>
      <c r="C63" s="93" t="s">
        <v>182</v>
      </c>
      <c r="D63" s="93" t="s">
        <v>200</v>
      </c>
      <c r="E63" s="93" t="s">
        <v>201</v>
      </c>
      <c r="F63" s="93" t="s">
        <v>202</v>
      </c>
      <c r="G63" s="93"/>
      <c r="H63" s="93"/>
      <c r="I63" s="95"/>
    </row>
    <row r="64" spans="1:10" x14ac:dyDescent="0.35">
      <c r="A64" s="98">
        <v>3</v>
      </c>
      <c r="B64" s="98">
        <v>323.7</v>
      </c>
      <c r="C64" s="98">
        <v>14.9</v>
      </c>
      <c r="D64" s="98" t="s">
        <v>203</v>
      </c>
      <c r="E64" s="83" t="s">
        <v>204</v>
      </c>
      <c r="F64" s="98" t="s">
        <v>205</v>
      </c>
      <c r="G64" s="98"/>
      <c r="H64" s="98"/>
      <c r="I64" s="83"/>
    </row>
    <row r="65" spans="1:9" x14ac:dyDescent="0.35">
      <c r="A65" s="98">
        <v>1</v>
      </c>
      <c r="B65" s="98">
        <v>489.09999999999997</v>
      </c>
      <c r="C65" s="98">
        <v>31.4</v>
      </c>
      <c r="D65" s="98">
        <f>B65-364.1 +332.1</f>
        <v>457.09999999999997</v>
      </c>
      <c r="E65" s="83" t="s">
        <v>206</v>
      </c>
      <c r="F65" s="98"/>
      <c r="G65" s="98"/>
      <c r="H65" s="98"/>
      <c r="I65" s="83"/>
    </row>
    <row r="66" spans="1:9" x14ac:dyDescent="0.35">
      <c r="A66" s="98">
        <v>0</v>
      </c>
      <c r="B66" s="98">
        <v>813</v>
      </c>
      <c r="C66" s="98">
        <v>24.6</v>
      </c>
      <c r="D66" s="98" t="s">
        <v>203</v>
      </c>
      <c r="E66" s="83" t="s">
        <v>207</v>
      </c>
      <c r="F66" s="98" t="s">
        <v>208</v>
      </c>
      <c r="G66" s="98"/>
      <c r="H66" s="98"/>
      <c r="I66" s="83"/>
    </row>
    <row r="67" spans="1:9" x14ac:dyDescent="0.35">
      <c r="A67" s="98">
        <v>2</v>
      </c>
      <c r="B67" s="98">
        <v>417</v>
      </c>
      <c r="C67" s="98">
        <v>38</v>
      </c>
      <c r="D67" s="98">
        <f>B67-270.7+218.5</f>
        <v>364.8</v>
      </c>
      <c r="E67" s="83" t="s">
        <v>209</v>
      </c>
      <c r="F67" s="98"/>
      <c r="G67" s="98"/>
      <c r="H67" s="98"/>
      <c r="I67" s="83"/>
    </row>
    <row r="68" spans="1:9" x14ac:dyDescent="0.35">
      <c r="A68" s="98">
        <v>4</v>
      </c>
      <c r="B68" s="98">
        <v>417</v>
      </c>
      <c r="C68" s="98">
        <v>17</v>
      </c>
      <c r="D68" s="98">
        <f>B68-50.4+32.6</f>
        <v>399.20000000000005</v>
      </c>
      <c r="E68" s="83" t="s">
        <v>210</v>
      </c>
      <c r="F68" s="98" t="s">
        <v>211</v>
      </c>
      <c r="G68" s="98"/>
      <c r="H68" s="98"/>
      <c r="I68" s="83"/>
    </row>
    <row r="69" spans="1:9" x14ac:dyDescent="0.35">
      <c r="A69" s="98" t="s">
        <v>198</v>
      </c>
      <c r="B69" s="98">
        <f>SUM(B64:B68)</f>
        <v>2459.8000000000002</v>
      </c>
      <c r="C69" s="98"/>
      <c r="D69" s="98"/>
      <c r="E69" s="98"/>
      <c r="F69" s="98"/>
      <c r="G69" s="98"/>
      <c r="H69" s="98"/>
      <c r="I69" s="83"/>
    </row>
  </sheetData>
  <mergeCells count="12">
    <mergeCell ref="B5:C5"/>
    <mergeCell ref="B14:C14"/>
    <mergeCell ref="J14:M14"/>
    <mergeCell ref="B23:C23"/>
    <mergeCell ref="B32:C32"/>
    <mergeCell ref="A61:I61"/>
    <mergeCell ref="B62:D62"/>
    <mergeCell ref="N33:Q33"/>
    <mergeCell ref="R33:U33"/>
    <mergeCell ref="B51:D51"/>
    <mergeCell ref="J33:M33"/>
    <mergeCell ref="A50: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Readings</vt:lpstr>
      <vt:lpstr>rawdata_for_matlab</vt:lpstr>
      <vt:lpstr>Scales</vt:lpstr>
      <vt:lpstr>trackchanges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Bilal Sharqi</dc:creator>
  <cp:keywords/>
  <dc:description/>
  <cp:lastModifiedBy>Bilal Sharqi</cp:lastModifiedBy>
  <cp:revision/>
  <dcterms:created xsi:type="dcterms:W3CDTF">2019-04-01T18:46:24Z</dcterms:created>
  <dcterms:modified xsi:type="dcterms:W3CDTF">2023-01-30T20:54:04Z</dcterms:modified>
  <cp:category/>
  <cp:contentStatus/>
</cp:coreProperties>
</file>