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OneDrive\Michigan\2019\Winter 2019\Work\Mass and Balance\"/>
    </mc:Choice>
  </mc:AlternateContent>
  <xr:revisionPtr revIDLastSave="3" documentId="114_{4F8F5EA7-5170-459B-98A7-F45D1B024050}" xr6:coauthVersionLast="45" xr6:coauthVersionMax="45" xr10:uidLastSave="{0CF2D786-C33D-4F36-8D7A-D01C8F4761D0}"/>
  <bookViews>
    <workbookView xWindow="2136" yWindow="516" windowWidth="27648" windowHeight="14640" xr2:uid="{2E6D0B59-BC59-42DB-B1BA-EA5AA93E62F8}"/>
  </bookViews>
  <sheets>
    <sheet name="Readings" sheetId="1" r:id="rId1"/>
    <sheet name="rawdata_for_matlab" sheetId="5" r:id="rId2"/>
    <sheet name="Scales" sheetId="3" r:id="rId3"/>
    <sheet name="trackchange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9" i="1" l="1"/>
  <c r="AR51" i="1" l="1"/>
  <c r="D65" i="6" l="1"/>
  <c r="D67" i="6"/>
  <c r="D68" i="6"/>
  <c r="BG18" i="1"/>
  <c r="B69" i="6"/>
  <c r="BG50" i="1"/>
  <c r="BF50" i="1"/>
  <c r="BE50" i="1"/>
  <c r="BD50" i="1"/>
  <c r="BC50" i="1"/>
  <c r="BB50" i="1"/>
  <c r="BA50" i="1"/>
  <c r="BA51" i="1" s="1"/>
  <c r="AZ50" i="1"/>
  <c r="AY50" i="1"/>
  <c r="AX50" i="1"/>
  <c r="AW50" i="1"/>
  <c r="BG49" i="1"/>
  <c r="BG51" i="1" s="1"/>
  <c r="BF49" i="1"/>
  <c r="BE49" i="1"/>
  <c r="BD49" i="1"/>
  <c r="BC49" i="1"/>
  <c r="BB49" i="1"/>
  <c r="BA49" i="1"/>
  <c r="AZ49" i="1"/>
  <c r="AZ51" i="1" s="1"/>
  <c r="AY49" i="1"/>
  <c r="AX49" i="1"/>
  <c r="AW49" i="1"/>
  <c r="AW51" i="1" s="1"/>
  <c r="BG41" i="1"/>
  <c r="BF41" i="1"/>
  <c r="BF47" i="1" s="1"/>
  <c r="BE41" i="1"/>
  <c r="BD41" i="1"/>
  <c r="BC41" i="1"/>
  <c r="BC47" i="1" s="1"/>
  <c r="BB41" i="1"/>
  <c r="BA41" i="1"/>
  <c r="AZ41" i="1"/>
  <c r="AY41" i="1"/>
  <c r="AY47" i="1" s="1"/>
  <c r="AX41" i="1"/>
  <c r="AW41" i="1"/>
  <c r="BG40" i="1"/>
  <c r="BG46" i="1" s="1"/>
  <c r="BF40" i="1"/>
  <c r="BF46" i="1" s="1"/>
  <c r="BE40" i="1"/>
  <c r="BD40" i="1"/>
  <c r="BC40" i="1"/>
  <c r="BB40" i="1"/>
  <c r="BA40" i="1"/>
  <c r="AZ40" i="1"/>
  <c r="AZ46" i="1" s="1"/>
  <c r="AY40" i="1"/>
  <c r="AX40" i="1"/>
  <c r="AX46" i="1" s="1"/>
  <c r="AW40" i="1"/>
  <c r="BG39" i="1"/>
  <c r="BF39" i="1"/>
  <c r="BE39" i="1"/>
  <c r="BE45" i="1" s="1"/>
  <c r="BD39" i="1"/>
  <c r="BC39" i="1"/>
  <c r="BB39" i="1"/>
  <c r="BA39" i="1"/>
  <c r="BA45" i="1" s="1"/>
  <c r="AZ39" i="1"/>
  <c r="AY39" i="1"/>
  <c r="AY45" i="1" s="1"/>
  <c r="AX39" i="1"/>
  <c r="AW39" i="1"/>
  <c r="AW45" i="1" s="1"/>
  <c r="BG38" i="1"/>
  <c r="BF38" i="1"/>
  <c r="BF44" i="1" s="1"/>
  <c r="BE38" i="1"/>
  <c r="BD38" i="1"/>
  <c r="BD44" i="1" s="1"/>
  <c r="BC38" i="1"/>
  <c r="BC44" i="1" s="1"/>
  <c r="BB38" i="1"/>
  <c r="BA38" i="1"/>
  <c r="AZ38" i="1"/>
  <c r="AY38" i="1"/>
  <c r="AX38" i="1"/>
  <c r="AX44" i="1" s="1"/>
  <c r="AW38" i="1"/>
  <c r="BG37" i="1"/>
  <c r="BG43" i="1" s="1"/>
  <c r="BF37" i="1"/>
  <c r="BE37" i="1"/>
  <c r="BE43" i="1" s="1"/>
  <c r="BD37" i="1"/>
  <c r="BD43" i="1" s="1"/>
  <c r="BC37" i="1"/>
  <c r="BB37" i="1"/>
  <c r="BB43" i="1" s="1"/>
  <c r="BA37" i="1"/>
  <c r="AZ37" i="1"/>
  <c r="AY37" i="1"/>
  <c r="AY43" i="1" s="1"/>
  <c r="AX37" i="1"/>
  <c r="AW37" i="1"/>
  <c r="BG35" i="1"/>
  <c r="BG47" i="1"/>
  <c r="BF35" i="1"/>
  <c r="BE35" i="1"/>
  <c r="BE47" i="1"/>
  <c r="BD35" i="1"/>
  <c r="BD47" i="1" s="1"/>
  <c r="BC35" i="1"/>
  <c r="BB35" i="1"/>
  <c r="BA35" i="1"/>
  <c r="AZ35" i="1"/>
  <c r="AY35" i="1"/>
  <c r="AX35" i="1"/>
  <c r="AX47" i="1" s="1"/>
  <c r="AW35" i="1"/>
  <c r="BG34" i="1"/>
  <c r="BF34" i="1"/>
  <c r="BE34" i="1"/>
  <c r="BE46" i="1"/>
  <c r="BD34" i="1"/>
  <c r="BD46" i="1" s="1"/>
  <c r="BC34" i="1"/>
  <c r="BB34" i="1"/>
  <c r="BA34" i="1"/>
  <c r="AZ34" i="1"/>
  <c r="AY34" i="1"/>
  <c r="AX34" i="1"/>
  <c r="AW34" i="1"/>
  <c r="AW46" i="1" s="1"/>
  <c r="BG33" i="1"/>
  <c r="BF33" i="1"/>
  <c r="BE33" i="1"/>
  <c r="BD33" i="1"/>
  <c r="BC33" i="1"/>
  <c r="BC45" i="1"/>
  <c r="BB33" i="1"/>
  <c r="BA33" i="1"/>
  <c r="AZ33" i="1"/>
  <c r="AZ45" i="1" s="1"/>
  <c r="AY33" i="1"/>
  <c r="AX33" i="1"/>
  <c r="AX45" i="1" s="1"/>
  <c r="AW33" i="1"/>
  <c r="BG32" i="1"/>
  <c r="BG44" i="1" s="1"/>
  <c r="BF32" i="1"/>
  <c r="BE32" i="1"/>
  <c r="BE44" i="1" s="1"/>
  <c r="BD32" i="1"/>
  <c r="BC32" i="1"/>
  <c r="BB32" i="1"/>
  <c r="BB44" i="1" s="1"/>
  <c r="BA32" i="1"/>
  <c r="BA44" i="1" s="1"/>
  <c r="AZ32" i="1"/>
  <c r="AY32" i="1"/>
  <c r="AY44" i="1" s="1"/>
  <c r="AX32" i="1"/>
  <c r="AW32" i="1"/>
  <c r="BG31" i="1"/>
  <c r="BF31" i="1"/>
  <c r="BF43" i="1" s="1"/>
  <c r="BE31" i="1"/>
  <c r="BD31" i="1"/>
  <c r="BC31" i="1"/>
  <c r="BB31" i="1"/>
  <c r="BA31" i="1"/>
  <c r="BA43" i="1" s="1"/>
  <c r="AZ31" i="1"/>
  <c r="AZ43" i="1" s="1"/>
  <c r="AY31" i="1"/>
  <c r="AX31" i="1"/>
  <c r="AW31" i="1"/>
  <c r="BG25" i="1"/>
  <c r="BF25" i="1"/>
  <c r="BE25" i="1"/>
  <c r="BD25" i="1"/>
  <c r="BD28" i="1"/>
  <c r="BC25" i="1"/>
  <c r="BC27" i="1" s="1"/>
  <c r="BC28" i="1"/>
  <c r="BC29" i="1" s="1"/>
  <c r="BB25" i="1"/>
  <c r="BB28" i="1"/>
  <c r="BB29" i="1" s="1"/>
  <c r="BA25" i="1"/>
  <c r="BA28" i="1"/>
  <c r="AZ25" i="1"/>
  <c r="AZ28" i="1" s="1"/>
  <c r="AZ29" i="1" s="1"/>
  <c r="AY25" i="1"/>
  <c r="AY28" i="1" s="1"/>
  <c r="AX25" i="1"/>
  <c r="AW25" i="1"/>
  <c r="BF18" i="1"/>
  <c r="BE18" i="1"/>
  <c r="BD18" i="1"/>
  <c r="BC18" i="1"/>
  <c r="BB18" i="1"/>
  <c r="BB27" i="1" s="1"/>
  <c r="BB51" i="1" s="1"/>
  <c r="BA18" i="1"/>
  <c r="AZ18" i="1"/>
  <c r="AY18" i="1"/>
  <c r="AX18" i="1"/>
  <c r="AX27" i="1" s="1"/>
  <c r="AW18" i="1"/>
  <c r="AW27" i="1" s="1"/>
  <c r="BF45" i="1"/>
  <c r="BF27" i="1"/>
  <c r="BF51" i="1" s="1"/>
  <c r="BD45" i="1"/>
  <c r="BB46" i="1"/>
  <c r="BA27" i="1"/>
  <c r="BA29" i="1"/>
  <c r="AZ44" i="1"/>
  <c r="AZ27" i="1"/>
  <c r="BB45" i="1"/>
  <c r="BC46" i="1"/>
  <c r="BG45" i="1"/>
  <c r="AW47" i="1"/>
  <c r="BE27" i="1"/>
  <c r="BE29" i="1" s="1"/>
  <c r="BG27" i="1"/>
  <c r="AW44" i="1"/>
  <c r="AY46" i="1"/>
  <c r="AZ47" i="1"/>
  <c r="AW43" i="1"/>
  <c r="BA47" i="1"/>
  <c r="AX43" i="1"/>
  <c r="BA46" i="1"/>
  <c r="BB47" i="1"/>
  <c r="BD27" i="1"/>
  <c r="BD51" i="1" s="1"/>
  <c r="BC43" i="1"/>
  <c r="BE28" i="1"/>
  <c r="BF28" i="1"/>
  <c r="BG28" i="1"/>
  <c r="BG29" i="1" s="1"/>
  <c r="AW28" i="1"/>
  <c r="AW29" i="1" s="1"/>
  <c r="AX28" i="1"/>
  <c r="B58" i="6"/>
  <c r="D57" i="6"/>
  <c r="E57" i="6" s="1"/>
  <c r="F57" i="6" s="1"/>
  <c r="G57" i="6" s="1"/>
  <c r="H57" i="6" s="1"/>
  <c r="H56" i="6"/>
  <c r="C56" i="6"/>
  <c r="D56" i="6"/>
  <c r="E56" i="6"/>
  <c r="F56" i="6" s="1"/>
  <c r="C55" i="6"/>
  <c r="D55" i="6" s="1"/>
  <c r="E55" i="6" s="1"/>
  <c r="F55" i="6" s="1"/>
  <c r="G55" i="6" s="1"/>
  <c r="H55" i="6" s="1"/>
  <c r="D46" i="6"/>
  <c r="C46" i="6"/>
  <c r="D54" i="6"/>
  <c r="E54" i="6"/>
  <c r="F54" i="6"/>
  <c r="G54" i="6" s="1"/>
  <c r="H54" i="6" s="1"/>
  <c r="C45" i="6"/>
  <c r="D45" i="6"/>
  <c r="B45" i="6"/>
  <c r="C53" i="6"/>
  <c r="D53" i="6" s="1"/>
  <c r="B44" i="6"/>
  <c r="D44" i="6" s="1"/>
  <c r="B43" i="6"/>
  <c r="D43" i="6"/>
  <c r="C42" i="6"/>
  <c r="D42" i="6" s="1"/>
  <c r="B42" i="6"/>
  <c r="W39" i="6"/>
  <c r="V39" i="6"/>
  <c r="U39" i="6"/>
  <c r="Q39" i="6"/>
  <c r="L39" i="6"/>
  <c r="K39" i="6"/>
  <c r="M39" i="6" s="1"/>
  <c r="W38" i="6"/>
  <c r="V38" i="6"/>
  <c r="U38" i="6"/>
  <c r="Q38" i="6"/>
  <c r="M38" i="6"/>
  <c r="U37" i="6"/>
  <c r="Q37" i="6"/>
  <c r="M37" i="6"/>
  <c r="V36" i="6"/>
  <c r="U36" i="6"/>
  <c r="Q36" i="6"/>
  <c r="M36" i="6"/>
  <c r="W35" i="6"/>
  <c r="V35" i="6"/>
  <c r="U35" i="6"/>
  <c r="P35" i="6"/>
  <c r="Q35" i="6" s="1"/>
  <c r="M35" i="6"/>
  <c r="G29" i="6"/>
  <c r="D29" i="6"/>
  <c r="G28" i="6"/>
  <c r="D28" i="6"/>
  <c r="G27" i="6"/>
  <c r="D27" i="6"/>
  <c r="G26" i="6"/>
  <c r="D26" i="6"/>
  <c r="G25" i="6"/>
  <c r="D25" i="6"/>
  <c r="M20" i="6"/>
  <c r="I20" i="6"/>
  <c r="H20" i="6"/>
  <c r="G20" i="6"/>
  <c r="J19" i="6"/>
  <c r="M19" i="6" s="1"/>
  <c r="I19" i="6"/>
  <c r="H19" i="6"/>
  <c r="G19" i="6"/>
  <c r="M18" i="6"/>
  <c r="I18" i="6"/>
  <c r="H18" i="6"/>
  <c r="G18" i="6"/>
  <c r="L17" i="6"/>
  <c r="J17" i="6"/>
  <c r="M17" i="6" s="1"/>
  <c r="I17" i="6"/>
  <c r="H17" i="6"/>
  <c r="G17" i="6"/>
  <c r="L16" i="6"/>
  <c r="K16" i="6"/>
  <c r="J16" i="6"/>
  <c r="M16" i="6"/>
  <c r="I16" i="6"/>
  <c r="H16" i="6"/>
  <c r="G16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BF29" i="1"/>
  <c r="C58" i="6"/>
  <c r="BG10" i="5"/>
  <c r="BH10" i="5"/>
  <c r="BG11" i="5"/>
  <c r="BH11" i="5"/>
  <c r="BI11" i="5" s="1"/>
  <c r="BG12" i="5"/>
  <c r="BH12" i="5"/>
  <c r="BI12" i="5" s="1"/>
  <c r="BG13" i="5"/>
  <c r="BH13" i="5"/>
  <c r="BG14" i="5"/>
  <c r="BH14" i="5"/>
  <c r="BG15" i="5"/>
  <c r="BI15" i="5" s="1"/>
  <c r="BH15" i="5"/>
  <c r="BG16" i="5"/>
  <c r="BH16" i="5"/>
  <c r="BG17" i="5"/>
  <c r="BH17" i="5"/>
  <c r="AV50" i="1"/>
  <c r="AV49" i="1"/>
  <c r="AV41" i="1"/>
  <c r="AV47" i="1"/>
  <c r="AV40" i="1"/>
  <c r="AV46" i="1" s="1"/>
  <c r="AV39" i="1"/>
  <c r="AV38" i="1"/>
  <c r="AV37" i="1"/>
  <c r="AV35" i="1"/>
  <c r="AV34" i="1"/>
  <c r="AV33" i="1"/>
  <c r="AV32" i="1"/>
  <c r="AV44" i="1" s="1"/>
  <c r="AV31" i="1"/>
  <c r="AV25" i="1"/>
  <c r="AV28" i="1" s="1"/>
  <c r="AV18" i="1"/>
  <c r="AQ18" i="1"/>
  <c r="AU50" i="1"/>
  <c r="AU51" i="1" s="1"/>
  <c r="AU49" i="1"/>
  <c r="AU41" i="1"/>
  <c r="AU40" i="1"/>
  <c r="AU46" i="1" s="1"/>
  <c r="AU39" i="1"/>
  <c r="AU38" i="1"/>
  <c r="AU37" i="1"/>
  <c r="AU35" i="1"/>
  <c r="AU47" i="1" s="1"/>
  <c r="AU34" i="1"/>
  <c r="AU33" i="1"/>
  <c r="AU32" i="1"/>
  <c r="AU31" i="1"/>
  <c r="AU25" i="1"/>
  <c r="AU28" i="1" s="1"/>
  <c r="AU29" i="1" s="1"/>
  <c r="AU18" i="1"/>
  <c r="AT50" i="1"/>
  <c r="AS50" i="1"/>
  <c r="AR50" i="1"/>
  <c r="AQ50" i="1"/>
  <c r="AT49" i="1"/>
  <c r="AS49" i="1"/>
  <c r="AR49" i="1"/>
  <c r="AQ49" i="1"/>
  <c r="AQ51" i="1" s="1"/>
  <c r="AT41" i="1"/>
  <c r="AS41" i="1"/>
  <c r="AS47" i="1" s="1"/>
  <c r="AR41" i="1"/>
  <c r="AQ41" i="1"/>
  <c r="AT40" i="1"/>
  <c r="AS40" i="1"/>
  <c r="AR40" i="1"/>
  <c r="AR46" i="1" s="1"/>
  <c r="AQ40" i="1"/>
  <c r="AT39" i="1"/>
  <c r="AT45" i="1" s="1"/>
  <c r="AS39" i="1"/>
  <c r="AR39" i="1"/>
  <c r="AQ39" i="1"/>
  <c r="AQ45" i="1" s="1"/>
  <c r="AT38" i="1"/>
  <c r="AT44" i="1" s="1"/>
  <c r="AS38" i="1"/>
  <c r="AR38" i="1"/>
  <c r="AQ38" i="1"/>
  <c r="AT37" i="1"/>
  <c r="AS37" i="1"/>
  <c r="AR37" i="1"/>
  <c r="AQ37" i="1"/>
  <c r="AT35" i="1"/>
  <c r="AT47" i="1" s="1"/>
  <c r="AS35" i="1"/>
  <c r="AR35" i="1"/>
  <c r="AQ35" i="1"/>
  <c r="AT34" i="1"/>
  <c r="AT46" i="1" s="1"/>
  <c r="AS34" i="1"/>
  <c r="AS46" i="1" s="1"/>
  <c r="AR34" i="1"/>
  <c r="AQ34" i="1"/>
  <c r="AT33" i="1"/>
  <c r="AS33" i="1"/>
  <c r="AR33" i="1"/>
  <c r="AR45" i="1" s="1"/>
  <c r="AQ33" i="1"/>
  <c r="AT32" i="1"/>
  <c r="AS32" i="1"/>
  <c r="AR32" i="1"/>
  <c r="AQ32" i="1"/>
  <c r="AT31" i="1"/>
  <c r="AT43" i="1" s="1"/>
  <c r="AS31" i="1"/>
  <c r="AR31" i="1"/>
  <c r="AQ31" i="1"/>
  <c r="AT25" i="1"/>
  <c r="AT28" i="1" s="1"/>
  <c r="AT29" i="1" s="1"/>
  <c r="AS25" i="1"/>
  <c r="AS27" i="1" s="1"/>
  <c r="AS51" i="1" s="1"/>
  <c r="AR25" i="1"/>
  <c r="AR28" i="1" s="1"/>
  <c r="AQ25" i="1"/>
  <c r="AQ28" i="1"/>
  <c r="AQ29" i="1" s="1"/>
  <c r="AT18" i="1"/>
  <c r="AS18" i="1"/>
  <c r="AR18" i="1"/>
  <c r="AP50" i="1"/>
  <c r="AP49" i="1"/>
  <c r="AP41" i="1"/>
  <c r="AP40" i="1"/>
  <c r="AP46" i="1" s="1"/>
  <c r="AP39" i="1"/>
  <c r="AP45" i="1" s="1"/>
  <c r="AP38" i="1"/>
  <c r="AP37" i="1"/>
  <c r="AP35" i="1"/>
  <c r="AP34" i="1"/>
  <c r="AP33" i="1"/>
  <c r="AP32" i="1"/>
  <c r="AP31" i="1"/>
  <c r="AP25" i="1"/>
  <c r="AP28" i="1"/>
  <c r="AP18" i="1"/>
  <c r="AO50" i="1"/>
  <c r="AN50" i="1"/>
  <c r="AO49" i="1"/>
  <c r="AN49" i="1"/>
  <c r="AO41" i="1"/>
  <c r="AO47" i="1"/>
  <c r="AN41" i="1"/>
  <c r="AN47" i="1" s="1"/>
  <c r="AO40" i="1"/>
  <c r="AN40" i="1"/>
  <c r="AO39" i="1"/>
  <c r="AN39" i="1"/>
  <c r="AO38" i="1"/>
  <c r="AN38" i="1"/>
  <c r="AN44" i="1" s="1"/>
  <c r="AO37" i="1"/>
  <c r="AO43" i="1" s="1"/>
  <c r="AN37" i="1"/>
  <c r="AN43" i="1" s="1"/>
  <c r="AO35" i="1"/>
  <c r="AN35" i="1"/>
  <c r="AO34" i="1"/>
  <c r="AN34" i="1"/>
  <c r="AN46" i="1" s="1"/>
  <c r="AO33" i="1"/>
  <c r="AO45" i="1" s="1"/>
  <c r="AN33" i="1"/>
  <c r="AO32" i="1"/>
  <c r="AO44" i="1" s="1"/>
  <c r="AN32" i="1"/>
  <c r="AO31" i="1"/>
  <c r="AN31" i="1"/>
  <c r="AO25" i="1"/>
  <c r="AO28" i="1" s="1"/>
  <c r="AN25" i="1"/>
  <c r="AN28" i="1" s="1"/>
  <c r="AO18" i="1"/>
  <c r="AN18" i="1"/>
  <c r="AM50" i="1"/>
  <c r="AL50" i="1"/>
  <c r="AM49" i="1"/>
  <c r="AL49" i="1"/>
  <c r="AM41" i="1"/>
  <c r="AL41" i="1"/>
  <c r="AM40" i="1"/>
  <c r="AL40" i="1"/>
  <c r="AM39" i="1"/>
  <c r="AM45" i="1" s="1"/>
  <c r="AL39" i="1"/>
  <c r="AL45" i="1" s="1"/>
  <c r="AM38" i="1"/>
  <c r="AL38" i="1"/>
  <c r="AM37" i="1"/>
  <c r="AL37" i="1"/>
  <c r="AL43" i="1" s="1"/>
  <c r="AM35" i="1"/>
  <c r="AL35" i="1"/>
  <c r="AM34" i="1"/>
  <c r="AM46" i="1" s="1"/>
  <c r="AL34" i="1"/>
  <c r="AM33" i="1"/>
  <c r="AL33" i="1"/>
  <c r="AM32" i="1"/>
  <c r="AM44" i="1" s="1"/>
  <c r="AL32" i="1"/>
  <c r="AL44" i="1" s="1"/>
  <c r="AM31" i="1"/>
  <c r="AL31" i="1"/>
  <c r="AM25" i="1"/>
  <c r="AM28" i="1"/>
  <c r="AM29" i="1" s="1"/>
  <c r="AL25" i="1"/>
  <c r="AL28" i="1" s="1"/>
  <c r="AL29" i="1" s="1"/>
  <c r="AM18" i="1"/>
  <c r="AL18" i="1"/>
  <c r="BI10" i="5"/>
  <c r="BI16" i="5"/>
  <c r="BI14" i="5"/>
  <c r="BI13" i="5"/>
  <c r="BI17" i="5"/>
  <c r="AS43" i="1"/>
  <c r="AV45" i="1"/>
  <c r="AV43" i="1"/>
  <c r="AS44" i="1"/>
  <c r="AS45" i="1"/>
  <c r="AR47" i="1"/>
  <c r="AR44" i="1"/>
  <c r="AQ44" i="1"/>
  <c r="AQ47" i="1"/>
  <c r="AR43" i="1"/>
  <c r="AT27" i="1"/>
  <c r="AU43" i="1"/>
  <c r="AU44" i="1"/>
  <c r="AU45" i="1"/>
  <c r="AQ43" i="1"/>
  <c r="AQ46" i="1"/>
  <c r="AU27" i="1"/>
  <c r="AQ27" i="1"/>
  <c r="AP47" i="1"/>
  <c r="AO46" i="1"/>
  <c r="AN45" i="1"/>
  <c r="AL46" i="1"/>
  <c r="AM47" i="1"/>
  <c r="AL47" i="1"/>
  <c r="AM43" i="1"/>
  <c r="AP43" i="1"/>
  <c r="AP44" i="1"/>
  <c r="AP27" i="1"/>
  <c r="AP29" i="1" s="1"/>
  <c r="AP51" i="1"/>
  <c r="AL27" i="1"/>
  <c r="AM27" i="1"/>
  <c r="AM51" i="1" s="1"/>
  <c r="AT51" i="1"/>
  <c r="AL51" i="1"/>
  <c r="AK50" i="1"/>
  <c r="AK49" i="1"/>
  <c r="AK41" i="1"/>
  <c r="AK47" i="1" s="1"/>
  <c r="AK40" i="1"/>
  <c r="AK46" i="1" s="1"/>
  <c r="AK39" i="1"/>
  <c r="AK45" i="1" s="1"/>
  <c r="AK38" i="1"/>
  <c r="AK37" i="1"/>
  <c r="AK35" i="1"/>
  <c r="AK34" i="1"/>
  <c r="AK33" i="1"/>
  <c r="AK32" i="1"/>
  <c r="AK31" i="1"/>
  <c r="AK43" i="1" s="1"/>
  <c r="AK25" i="1"/>
  <c r="AK28" i="1"/>
  <c r="AK18" i="1"/>
  <c r="AJ50" i="1"/>
  <c r="AJ49" i="1"/>
  <c r="AJ41" i="1"/>
  <c r="AJ40" i="1"/>
  <c r="AJ39" i="1"/>
  <c r="AJ45" i="1" s="1"/>
  <c r="AJ38" i="1"/>
  <c r="AJ44" i="1" s="1"/>
  <c r="AJ37" i="1"/>
  <c r="AJ35" i="1"/>
  <c r="AJ34" i="1"/>
  <c r="AJ33" i="1"/>
  <c r="AJ32" i="1"/>
  <c r="AJ31" i="1"/>
  <c r="AJ25" i="1"/>
  <c r="AJ28" i="1" s="1"/>
  <c r="AJ18" i="1"/>
  <c r="AJ27" i="1" s="1"/>
  <c r="AI50" i="1"/>
  <c r="AI49" i="1"/>
  <c r="AI41" i="1"/>
  <c r="AI47" i="1" s="1"/>
  <c r="AI40" i="1"/>
  <c r="AI46" i="1" s="1"/>
  <c r="AI39" i="1"/>
  <c r="AI45" i="1" s="1"/>
  <c r="AI38" i="1"/>
  <c r="AI44" i="1" s="1"/>
  <c r="AI37" i="1"/>
  <c r="AI35" i="1"/>
  <c r="AI34" i="1"/>
  <c r="AI33" i="1"/>
  <c r="AI32" i="1"/>
  <c r="AI31" i="1"/>
  <c r="AI25" i="1"/>
  <c r="AI28" i="1"/>
  <c r="AI18" i="1"/>
  <c r="AH50" i="1"/>
  <c r="AH49" i="1"/>
  <c r="AH41" i="1"/>
  <c r="AH40" i="1"/>
  <c r="AH46" i="1"/>
  <c r="AH39" i="1"/>
  <c r="AH38" i="1"/>
  <c r="AH44" i="1" s="1"/>
  <c r="AH37" i="1"/>
  <c r="AH43" i="1" s="1"/>
  <c r="AH35" i="1"/>
  <c r="AH34" i="1"/>
  <c r="AH33" i="1"/>
  <c r="AH32" i="1"/>
  <c r="AH31" i="1"/>
  <c r="AH25" i="1"/>
  <c r="AH28" i="1"/>
  <c r="AH18" i="1"/>
  <c r="AG50" i="1"/>
  <c r="AG49" i="1"/>
  <c r="AG41" i="1"/>
  <c r="AG47" i="1"/>
  <c r="AG40" i="1"/>
  <c r="AG39" i="1"/>
  <c r="AG38" i="1"/>
  <c r="AG44" i="1" s="1"/>
  <c r="AG37" i="1"/>
  <c r="AG43" i="1" s="1"/>
  <c r="AG35" i="1"/>
  <c r="AG34" i="1"/>
  <c r="AG33" i="1"/>
  <c r="AG45" i="1" s="1"/>
  <c r="AG32" i="1"/>
  <c r="AG31" i="1"/>
  <c r="AG25" i="1"/>
  <c r="AG27" i="1" s="1"/>
  <c r="AG51" i="1" s="1"/>
  <c r="AG18" i="1"/>
  <c r="AF50" i="1"/>
  <c r="AF49" i="1"/>
  <c r="AF41" i="1"/>
  <c r="AF40" i="1"/>
  <c r="AF46" i="1" s="1"/>
  <c r="AF39" i="1"/>
  <c r="AF45" i="1" s="1"/>
  <c r="AF38" i="1"/>
  <c r="AF37" i="1"/>
  <c r="AF43" i="1" s="1"/>
  <c r="AF35" i="1"/>
  <c r="AF34" i="1"/>
  <c r="AF33" i="1"/>
  <c r="AF32" i="1"/>
  <c r="AF44" i="1"/>
  <c r="AF31" i="1"/>
  <c r="AF25" i="1"/>
  <c r="AF18" i="1"/>
  <c r="AA50" i="1"/>
  <c r="AA49" i="1"/>
  <c r="AA41" i="1"/>
  <c r="AA47" i="1" s="1"/>
  <c r="AA40" i="1"/>
  <c r="AA39" i="1"/>
  <c r="AA38" i="1"/>
  <c r="AA44" i="1" s="1"/>
  <c r="AA37" i="1"/>
  <c r="AA43" i="1" s="1"/>
  <c r="AA35" i="1"/>
  <c r="AA34" i="1"/>
  <c r="AA46" i="1"/>
  <c r="AA33" i="1"/>
  <c r="AA45" i="1" s="1"/>
  <c r="AA32" i="1"/>
  <c r="AA31" i="1"/>
  <c r="AA25" i="1"/>
  <c r="AA27" i="1" s="1"/>
  <c r="AA51" i="1" s="1"/>
  <c r="AA18" i="1"/>
  <c r="AI43" i="1"/>
  <c r="AJ47" i="1"/>
  <c r="AJ46" i="1"/>
  <c r="AK44" i="1"/>
  <c r="AK27" i="1"/>
  <c r="AK51" i="1" s="1"/>
  <c r="AJ43" i="1"/>
  <c r="AI27" i="1"/>
  <c r="AI29" i="1" s="1"/>
  <c r="AH47" i="1"/>
  <c r="AH45" i="1"/>
  <c r="AH27" i="1"/>
  <c r="AH51" i="1" s="1"/>
  <c r="AH29" i="1"/>
  <c r="AG46" i="1"/>
  <c r="AF27" i="1"/>
  <c r="AF51" i="1" s="1"/>
  <c r="AF47" i="1"/>
  <c r="AF28" i="1"/>
  <c r="AF29" i="1" s="1"/>
  <c r="AE49" i="1"/>
  <c r="AE50" i="1"/>
  <c r="AE25" i="1"/>
  <c r="AE28" i="1"/>
  <c r="AE18" i="1"/>
  <c r="AD49" i="1"/>
  <c r="AD50" i="1"/>
  <c r="AD51" i="1" s="1"/>
  <c r="AD25" i="1"/>
  <c r="AD18" i="1"/>
  <c r="AC49" i="1"/>
  <c r="AC50" i="1"/>
  <c r="AC25" i="1"/>
  <c r="AC27" i="1" s="1"/>
  <c r="AC18" i="1"/>
  <c r="AB49" i="1"/>
  <c r="AB51" i="1" s="1"/>
  <c r="AB50" i="1"/>
  <c r="AB25" i="1"/>
  <c r="AB18" i="1"/>
  <c r="AE41" i="1"/>
  <c r="AE35" i="1"/>
  <c r="AE47" i="1" s="1"/>
  <c r="AD41" i="1"/>
  <c r="AD35" i="1"/>
  <c r="AC41" i="1"/>
  <c r="AC35" i="1"/>
  <c r="AB41" i="1"/>
  <c r="AB35" i="1"/>
  <c r="AE40" i="1"/>
  <c r="AE46" i="1" s="1"/>
  <c r="AE34" i="1"/>
  <c r="AD40" i="1"/>
  <c r="AD34" i="1"/>
  <c r="AC40" i="1"/>
  <c r="AC46" i="1" s="1"/>
  <c r="AC34" i="1"/>
  <c r="AB40" i="1"/>
  <c r="AB34" i="1"/>
  <c r="AE39" i="1"/>
  <c r="AE45" i="1" s="1"/>
  <c r="AE33" i="1"/>
  <c r="AD39" i="1"/>
  <c r="AD33" i="1"/>
  <c r="AD45" i="1" s="1"/>
  <c r="AC39" i="1"/>
  <c r="AC33" i="1"/>
  <c r="AB39" i="1"/>
  <c r="AB33" i="1"/>
  <c r="AE38" i="1"/>
  <c r="AE44" i="1" s="1"/>
  <c r="AE32" i="1"/>
  <c r="AD38" i="1"/>
  <c r="AD32" i="1"/>
  <c r="AD44" i="1"/>
  <c r="AC38" i="1"/>
  <c r="AC32" i="1"/>
  <c r="AB38" i="1"/>
  <c r="AB44" i="1" s="1"/>
  <c r="AB32" i="1"/>
  <c r="AE37" i="1"/>
  <c r="AE31" i="1"/>
  <c r="AD37" i="1"/>
  <c r="AD43" i="1" s="1"/>
  <c r="AD31" i="1"/>
  <c r="AC37" i="1"/>
  <c r="AC31" i="1"/>
  <c r="AB37" i="1"/>
  <c r="AB43" i="1" s="1"/>
  <c r="AB31" i="1"/>
  <c r="Z50" i="1"/>
  <c r="Z49" i="1"/>
  <c r="Z41" i="1"/>
  <c r="Z35" i="1"/>
  <c r="Z40" i="1"/>
  <c r="Z46" i="1" s="1"/>
  <c r="Z39" i="1"/>
  <c r="Z45" i="1" s="1"/>
  <c r="Z38" i="1"/>
  <c r="Z44" i="1" s="1"/>
  <c r="Z37" i="1"/>
  <c r="Z34" i="1"/>
  <c r="Z33" i="1"/>
  <c r="Z32" i="1"/>
  <c r="Z31" i="1"/>
  <c r="Z25" i="1"/>
  <c r="Z28" i="1" s="1"/>
  <c r="Z18" i="1"/>
  <c r="Y50" i="1"/>
  <c r="Y49" i="1"/>
  <c r="Y41" i="1"/>
  <c r="Y47" i="1" s="1"/>
  <c r="Y40" i="1"/>
  <c r="Y46" i="1" s="1"/>
  <c r="Y39" i="1"/>
  <c r="Y38" i="1"/>
  <c r="Y37" i="1"/>
  <c r="Y35" i="1"/>
  <c r="Y34" i="1"/>
  <c r="Y33" i="1"/>
  <c r="Y45" i="1" s="1"/>
  <c r="Y32" i="1"/>
  <c r="Y31" i="1"/>
  <c r="Y25" i="1"/>
  <c r="Y27" i="1" s="1"/>
  <c r="Y18" i="1"/>
  <c r="V34" i="1"/>
  <c r="X50" i="1"/>
  <c r="W50" i="1"/>
  <c r="V50" i="1"/>
  <c r="U50" i="1"/>
  <c r="T50" i="1"/>
  <c r="S50" i="1"/>
  <c r="S51" i="1" s="1"/>
  <c r="R50" i="1"/>
  <c r="X49" i="1"/>
  <c r="W49" i="1"/>
  <c r="V49" i="1"/>
  <c r="U49" i="1"/>
  <c r="T49" i="1"/>
  <c r="S49" i="1"/>
  <c r="R49" i="1"/>
  <c r="R51" i="1" s="1"/>
  <c r="X41" i="1"/>
  <c r="X47" i="1" s="1"/>
  <c r="W41" i="1"/>
  <c r="W35" i="1"/>
  <c r="V41" i="1"/>
  <c r="V47" i="1" s="1"/>
  <c r="U41" i="1"/>
  <c r="T41" i="1"/>
  <c r="S41" i="1"/>
  <c r="S47" i="1" s="1"/>
  <c r="R41" i="1"/>
  <c r="X40" i="1"/>
  <c r="X46" i="1" s="1"/>
  <c r="W40" i="1"/>
  <c r="V40" i="1"/>
  <c r="U40" i="1"/>
  <c r="U34" i="1"/>
  <c r="T40" i="1"/>
  <c r="T46" i="1" s="1"/>
  <c r="S40" i="1"/>
  <c r="S46" i="1" s="1"/>
  <c r="R40" i="1"/>
  <c r="X39" i="1"/>
  <c r="W39" i="1"/>
  <c r="V39" i="1"/>
  <c r="V45" i="1" s="1"/>
  <c r="U39" i="1"/>
  <c r="U45" i="1" s="1"/>
  <c r="T39" i="1"/>
  <c r="S39" i="1"/>
  <c r="R39" i="1"/>
  <c r="R45" i="1" s="1"/>
  <c r="X38" i="1"/>
  <c r="X44" i="1" s="1"/>
  <c r="W38" i="1"/>
  <c r="V38" i="1"/>
  <c r="V44" i="1" s="1"/>
  <c r="U38" i="1"/>
  <c r="T38" i="1"/>
  <c r="T32" i="1"/>
  <c r="T44" i="1"/>
  <c r="S38" i="1"/>
  <c r="S32" i="1"/>
  <c r="R38" i="1"/>
  <c r="R44" i="1" s="1"/>
  <c r="X37" i="1"/>
  <c r="X43" i="1" s="1"/>
  <c r="W37" i="1"/>
  <c r="V37" i="1"/>
  <c r="U37" i="1"/>
  <c r="U43" i="1" s="1"/>
  <c r="T37" i="1"/>
  <c r="S37" i="1"/>
  <c r="R37" i="1"/>
  <c r="R31" i="1"/>
  <c r="X35" i="1"/>
  <c r="V35" i="1"/>
  <c r="U35" i="1"/>
  <c r="T35" i="1"/>
  <c r="S35" i="1"/>
  <c r="R35" i="1"/>
  <c r="X34" i="1"/>
  <c r="W34" i="1"/>
  <c r="T34" i="1"/>
  <c r="S34" i="1"/>
  <c r="R34" i="1"/>
  <c r="R46" i="1" s="1"/>
  <c r="X33" i="1"/>
  <c r="X45" i="1" s="1"/>
  <c r="W33" i="1"/>
  <c r="V33" i="1"/>
  <c r="U33" i="1"/>
  <c r="T33" i="1"/>
  <c r="T45" i="1" s="1"/>
  <c r="S33" i="1"/>
  <c r="R33" i="1"/>
  <c r="X32" i="1"/>
  <c r="W32" i="1"/>
  <c r="W44" i="1"/>
  <c r="V32" i="1"/>
  <c r="U32" i="1"/>
  <c r="U44" i="1" s="1"/>
  <c r="R32" i="1"/>
  <c r="X31" i="1"/>
  <c r="W31" i="1"/>
  <c r="V31" i="1"/>
  <c r="U31" i="1"/>
  <c r="T31" i="1"/>
  <c r="S31" i="1"/>
  <c r="X25" i="1"/>
  <c r="X28" i="1"/>
  <c r="W25" i="1"/>
  <c r="W27" i="1" s="1"/>
  <c r="W51" i="1" s="1"/>
  <c r="V25" i="1"/>
  <c r="V28" i="1" s="1"/>
  <c r="U25" i="1"/>
  <c r="U28" i="1" s="1"/>
  <c r="T25" i="1"/>
  <c r="T28" i="1"/>
  <c r="T29" i="1" s="1"/>
  <c r="S25" i="1"/>
  <c r="S28" i="1" s="1"/>
  <c r="S29" i="1" s="1"/>
  <c r="R25" i="1"/>
  <c r="R28" i="1" s="1"/>
  <c r="R29" i="1" s="1"/>
  <c r="X18" i="1"/>
  <c r="W18" i="1"/>
  <c r="V18" i="1"/>
  <c r="U18" i="1"/>
  <c r="U27" i="1" s="1"/>
  <c r="T18" i="1"/>
  <c r="S18" i="1"/>
  <c r="R18" i="1"/>
  <c r="N18" i="1"/>
  <c r="V46" i="1"/>
  <c r="L25" i="1"/>
  <c r="L28" i="1"/>
  <c r="L29" i="1" s="1"/>
  <c r="L18" i="1"/>
  <c r="I40" i="1"/>
  <c r="I34" i="1"/>
  <c r="I46" i="1" s="1"/>
  <c r="D18" i="1"/>
  <c r="E18" i="1"/>
  <c r="E27" i="1" s="1"/>
  <c r="F18" i="1"/>
  <c r="G18" i="1"/>
  <c r="H18" i="1"/>
  <c r="I18" i="1"/>
  <c r="J18" i="1"/>
  <c r="K18" i="1"/>
  <c r="M18" i="1"/>
  <c r="M27" i="1" s="1"/>
  <c r="O18" i="1"/>
  <c r="P18" i="1"/>
  <c r="Q18" i="1"/>
  <c r="D25" i="1"/>
  <c r="D28" i="1" s="1"/>
  <c r="D29" i="1" s="1"/>
  <c r="D27" i="1"/>
  <c r="E25" i="1"/>
  <c r="E28" i="1" s="1"/>
  <c r="F25" i="1"/>
  <c r="F28" i="1" s="1"/>
  <c r="F29" i="1" s="1"/>
  <c r="G25" i="1"/>
  <c r="G27" i="1" s="1"/>
  <c r="H25" i="1"/>
  <c r="I25" i="1"/>
  <c r="I27" i="1" s="1"/>
  <c r="J25" i="1"/>
  <c r="J28" i="1"/>
  <c r="J29" i="1" s="1"/>
  <c r="K25" i="1"/>
  <c r="K27" i="1" s="1"/>
  <c r="K51" i="1" s="1"/>
  <c r="K28" i="1"/>
  <c r="M25" i="1"/>
  <c r="M28" i="1" s="1"/>
  <c r="M29" i="1" s="1"/>
  <c r="N25" i="1"/>
  <c r="N28" i="1"/>
  <c r="O25" i="1"/>
  <c r="O28" i="1" s="1"/>
  <c r="P25" i="1"/>
  <c r="P27" i="1" s="1"/>
  <c r="P51" i="1" s="1"/>
  <c r="Q25" i="1"/>
  <c r="Q28" i="1"/>
  <c r="Q29" i="1" s="1"/>
  <c r="D31" i="1"/>
  <c r="E31" i="1"/>
  <c r="F31" i="1"/>
  <c r="G31" i="1"/>
  <c r="H31" i="1"/>
  <c r="I31" i="1"/>
  <c r="J31" i="1"/>
  <c r="K31" i="1"/>
  <c r="L31" i="1"/>
  <c r="M31" i="1"/>
  <c r="N31" i="1"/>
  <c r="N37" i="1"/>
  <c r="N43" i="1" s="1"/>
  <c r="O31" i="1"/>
  <c r="O43" i="1" s="1"/>
  <c r="P31" i="1"/>
  <c r="Q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D33" i="1"/>
  <c r="E33" i="1"/>
  <c r="F33" i="1"/>
  <c r="G33" i="1"/>
  <c r="H33" i="1"/>
  <c r="I33" i="1"/>
  <c r="J33" i="1"/>
  <c r="J39" i="1"/>
  <c r="J45" i="1" s="1"/>
  <c r="K33" i="1"/>
  <c r="L33" i="1"/>
  <c r="M33" i="1"/>
  <c r="N33" i="1"/>
  <c r="O33" i="1"/>
  <c r="O45" i="1" s="1"/>
  <c r="P33" i="1"/>
  <c r="Q33" i="1"/>
  <c r="D34" i="1"/>
  <c r="E34" i="1"/>
  <c r="E40" i="1"/>
  <c r="F34" i="1"/>
  <c r="G34" i="1"/>
  <c r="G46" i="1" s="1"/>
  <c r="H34" i="1"/>
  <c r="H40" i="1"/>
  <c r="J34" i="1"/>
  <c r="K34" i="1"/>
  <c r="L34" i="1"/>
  <c r="M34" i="1"/>
  <c r="M46" i="1" s="1"/>
  <c r="N34" i="1"/>
  <c r="O34" i="1"/>
  <c r="O46" i="1"/>
  <c r="P34" i="1"/>
  <c r="Q34" i="1"/>
  <c r="D35" i="1"/>
  <c r="E35" i="1"/>
  <c r="F35" i="1"/>
  <c r="G35" i="1"/>
  <c r="G47" i="1" s="1"/>
  <c r="H35" i="1"/>
  <c r="I35" i="1"/>
  <c r="J35" i="1"/>
  <c r="J47" i="1" s="1"/>
  <c r="K35" i="1"/>
  <c r="L35" i="1"/>
  <c r="M35" i="1"/>
  <c r="M47" i="1" s="1"/>
  <c r="N35" i="1"/>
  <c r="O35" i="1"/>
  <c r="O41" i="1"/>
  <c r="O47" i="1"/>
  <c r="P35" i="1"/>
  <c r="Q35" i="1"/>
  <c r="Q47" i="1" s="1"/>
  <c r="D37" i="1"/>
  <c r="E37" i="1"/>
  <c r="E43" i="1" s="1"/>
  <c r="F37" i="1"/>
  <c r="G37" i="1"/>
  <c r="G43" i="1" s="1"/>
  <c r="H37" i="1"/>
  <c r="H43" i="1" s="1"/>
  <c r="I37" i="1"/>
  <c r="I43" i="1" s="1"/>
  <c r="J37" i="1"/>
  <c r="K37" i="1"/>
  <c r="K43" i="1"/>
  <c r="L37" i="1"/>
  <c r="L43" i="1" s="1"/>
  <c r="M37" i="1"/>
  <c r="O37" i="1"/>
  <c r="P37" i="1"/>
  <c r="P43" i="1" s="1"/>
  <c r="Q37" i="1"/>
  <c r="D38" i="1"/>
  <c r="E38" i="1"/>
  <c r="E44" i="1"/>
  <c r="F38" i="1"/>
  <c r="G38" i="1"/>
  <c r="G44" i="1"/>
  <c r="H38" i="1"/>
  <c r="H44" i="1" s="1"/>
  <c r="I38" i="1"/>
  <c r="I44" i="1"/>
  <c r="J38" i="1"/>
  <c r="K38" i="1"/>
  <c r="K44" i="1"/>
  <c r="L38" i="1"/>
  <c r="M38" i="1"/>
  <c r="M44" i="1" s="1"/>
  <c r="N38" i="1"/>
  <c r="N44" i="1" s="1"/>
  <c r="O38" i="1"/>
  <c r="O44" i="1" s="1"/>
  <c r="P38" i="1"/>
  <c r="P44" i="1" s="1"/>
  <c r="Q38" i="1"/>
  <c r="Q44" i="1" s="1"/>
  <c r="D39" i="1"/>
  <c r="D45" i="1" s="1"/>
  <c r="E39" i="1"/>
  <c r="E45" i="1"/>
  <c r="F39" i="1"/>
  <c r="F45" i="1" s="1"/>
  <c r="G39" i="1"/>
  <c r="G45" i="1" s="1"/>
  <c r="H39" i="1"/>
  <c r="I39" i="1"/>
  <c r="I45" i="1"/>
  <c r="K39" i="1"/>
  <c r="K45" i="1" s="1"/>
  <c r="L39" i="1"/>
  <c r="M39" i="1"/>
  <c r="M45" i="1" s="1"/>
  <c r="N39" i="1"/>
  <c r="O39" i="1"/>
  <c r="P39" i="1"/>
  <c r="Q39" i="1"/>
  <c r="D40" i="1"/>
  <c r="D46" i="1" s="1"/>
  <c r="F40" i="1"/>
  <c r="G40" i="1"/>
  <c r="J40" i="1"/>
  <c r="K40" i="1"/>
  <c r="L40" i="1"/>
  <c r="L46" i="1" s="1"/>
  <c r="M40" i="1"/>
  <c r="N40" i="1"/>
  <c r="O40" i="1"/>
  <c r="P40" i="1"/>
  <c r="P46" i="1" s="1"/>
  <c r="Q40" i="1"/>
  <c r="Q46" i="1" s="1"/>
  <c r="D41" i="1"/>
  <c r="E41" i="1"/>
  <c r="E47" i="1" s="1"/>
  <c r="F41" i="1"/>
  <c r="G41" i="1"/>
  <c r="H41" i="1"/>
  <c r="H47" i="1" s="1"/>
  <c r="I41" i="1"/>
  <c r="J41" i="1"/>
  <c r="K41" i="1"/>
  <c r="K47" i="1" s="1"/>
  <c r="L41" i="1"/>
  <c r="M41" i="1"/>
  <c r="N41" i="1"/>
  <c r="P41" i="1"/>
  <c r="P47" i="1"/>
  <c r="Q41" i="1"/>
  <c r="D49" i="1"/>
  <c r="E49" i="1"/>
  <c r="F49" i="1"/>
  <c r="F51" i="1" s="1"/>
  <c r="G49" i="1"/>
  <c r="H49" i="1"/>
  <c r="I49" i="1"/>
  <c r="I51" i="1" s="1"/>
  <c r="J49" i="1"/>
  <c r="K49" i="1"/>
  <c r="L49" i="1"/>
  <c r="M49" i="1"/>
  <c r="M51" i="1" s="1"/>
  <c r="N49" i="1"/>
  <c r="N51" i="1" s="1"/>
  <c r="O49" i="1"/>
  <c r="P49" i="1"/>
  <c r="Q49" i="1"/>
  <c r="Q51" i="1" s="1"/>
  <c r="D50" i="1"/>
  <c r="D51" i="1" s="1"/>
  <c r="E50" i="1"/>
  <c r="F50" i="1"/>
  <c r="G50" i="1"/>
  <c r="G51" i="1" s="1"/>
  <c r="H50" i="1"/>
  <c r="I50" i="1"/>
  <c r="J50" i="1"/>
  <c r="K50" i="1"/>
  <c r="L50" i="1"/>
  <c r="M50" i="1"/>
  <c r="N50" i="1"/>
  <c r="O50" i="1"/>
  <c r="P50" i="1"/>
  <c r="Q50" i="1"/>
  <c r="R43" i="1"/>
  <c r="N47" i="1"/>
  <c r="N45" i="1"/>
  <c r="H46" i="1"/>
  <c r="L45" i="1"/>
  <c r="N27" i="1"/>
  <c r="N29" i="1" s="1"/>
  <c r="T43" i="1"/>
  <c r="AD46" i="1"/>
  <c r="N46" i="1"/>
  <c r="S44" i="1"/>
  <c r="W43" i="1"/>
  <c r="M43" i="1"/>
  <c r="F27" i="1"/>
  <c r="K46" i="1"/>
  <c r="P45" i="1"/>
  <c r="F43" i="1"/>
  <c r="I47" i="1"/>
  <c r="U46" i="1"/>
  <c r="D47" i="1"/>
  <c r="L44" i="1"/>
  <c r="AE43" i="1"/>
  <c r="S43" i="1"/>
  <c r="H45" i="1"/>
  <c r="J44" i="1"/>
  <c r="Q27" i="1"/>
  <c r="Q43" i="1"/>
  <c r="F47" i="1"/>
  <c r="F46" i="1"/>
  <c r="Q45" i="1"/>
  <c r="F44" i="1"/>
  <c r="Z43" i="1"/>
  <c r="AE27" i="1"/>
  <c r="AE51" i="1"/>
  <c r="AD47" i="1"/>
  <c r="AD27" i="1"/>
  <c r="AC47" i="1"/>
  <c r="AC45" i="1"/>
  <c r="AC44" i="1"/>
  <c r="AC28" i="1"/>
  <c r="AB47" i="1"/>
  <c r="D43" i="1"/>
  <c r="D44" i="1"/>
  <c r="L27" i="1"/>
  <c r="R47" i="1"/>
  <c r="V43" i="1"/>
  <c r="W47" i="1"/>
  <c r="AD28" i="1"/>
  <c r="AB46" i="1"/>
  <c r="L47" i="1"/>
  <c r="Y43" i="1"/>
  <c r="T47" i="1"/>
  <c r="Y44" i="1"/>
  <c r="H27" i="1"/>
  <c r="H51" i="1" s="1"/>
  <c r="U47" i="1"/>
  <c r="S45" i="1"/>
  <c r="W46" i="1"/>
  <c r="J27" i="1"/>
  <c r="J51" i="1" s="1"/>
  <c r="J46" i="1"/>
  <c r="E46" i="1"/>
  <c r="X27" i="1"/>
  <c r="X29" i="1" s="1"/>
  <c r="S27" i="1"/>
  <c r="W45" i="1"/>
  <c r="AC43" i="1"/>
  <c r="J43" i="1"/>
  <c r="T27" i="1"/>
  <c r="T51" i="1" s="1"/>
  <c r="AB45" i="1"/>
  <c r="Z47" i="1"/>
  <c r="AB27" i="1"/>
  <c r="AB28" i="1"/>
  <c r="AB29" i="1" s="1"/>
  <c r="H28" i="1"/>
  <c r="R27" i="1"/>
  <c r="L51" i="1"/>
  <c r="AE29" i="1"/>
  <c r="AD29" i="1"/>
  <c r="AC29" i="1" l="1"/>
  <c r="AC51" i="1"/>
  <c r="AY29" i="1"/>
  <c r="BC51" i="1"/>
  <c r="AX29" i="1"/>
  <c r="AX51" i="1"/>
  <c r="AV51" i="1"/>
  <c r="U29" i="1"/>
  <c r="V29" i="1"/>
  <c r="D58" i="6"/>
  <c r="E53" i="6"/>
  <c r="O29" i="1"/>
  <c r="E29" i="1"/>
  <c r="AJ51" i="1"/>
  <c r="AJ29" i="1"/>
  <c r="AN29" i="1"/>
  <c r="O51" i="1"/>
  <c r="E51" i="1"/>
  <c r="AY51" i="1"/>
  <c r="K29" i="1"/>
  <c r="U51" i="1"/>
  <c r="Y51" i="1"/>
  <c r="W28" i="1"/>
  <c r="W29" i="1" s="1"/>
  <c r="Y28" i="1"/>
  <c r="Y29" i="1" s="1"/>
  <c r="AG28" i="1"/>
  <c r="AG29" i="1" s="1"/>
  <c r="AS28" i="1"/>
  <c r="AS29" i="1" s="1"/>
  <c r="BD29" i="1"/>
  <c r="BE51" i="1"/>
  <c r="Z27" i="1"/>
  <c r="Z51" i="1" s="1"/>
  <c r="AR27" i="1"/>
  <c r="O27" i="1"/>
  <c r="P28" i="1"/>
  <c r="P29" i="1" s="1"/>
  <c r="I28" i="1"/>
  <c r="I29" i="1" s="1"/>
  <c r="AK29" i="1"/>
  <c r="AA28" i="1"/>
  <c r="AA29" i="1" s="1"/>
  <c r="AN27" i="1"/>
  <c r="AN51" i="1" s="1"/>
  <c r="H29" i="1"/>
  <c r="AI51" i="1"/>
  <c r="G28" i="1"/>
  <c r="G29" i="1" s="1"/>
  <c r="AY27" i="1"/>
  <c r="AO27" i="1"/>
  <c r="AO29" i="1" s="1"/>
  <c r="X51" i="1"/>
  <c r="V27" i="1"/>
  <c r="V51" i="1" s="1"/>
  <c r="AV27" i="1"/>
  <c r="AO51" i="1" l="1"/>
  <c r="AR29" i="1"/>
  <c r="Z29" i="1"/>
  <c r="F53" i="6"/>
  <c r="E58" i="6"/>
  <c r="G53" i="6" l="1"/>
  <c r="F58" i="6"/>
  <c r="G58" i="6" l="1"/>
  <c r="H5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</author>
  </authors>
  <commentList>
    <comment ref="G15" authorId="0" shapeId="0" xr:uid="{5F498234-5906-431C-9B28-7396403D51D4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  <comment ref="G24" authorId="0" shapeId="0" xr:uid="{05123366-0B96-4CB3-8046-36BF7A672AA6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  <comment ref="G33" authorId="0" shapeId="0" xr:uid="{D05D0877-37CA-4A2E-AEC0-C1D7A9FE6D49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</commentList>
</comments>
</file>

<file path=xl/sharedStrings.xml><?xml version="1.0" encoding="utf-8"?>
<sst xmlns="http://schemas.openxmlformats.org/spreadsheetml/2006/main" count="363" uniqueCount="232">
  <si>
    <t>Configuration:</t>
  </si>
  <si>
    <t>Notes on Configuration:</t>
  </si>
  <si>
    <t>ATV MAY 18</t>
  </si>
  <si>
    <t>RRV MAY 18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</si>
  <si>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</si>
  <si>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</si>
  <si>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</si>
  <si>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</si>
  <si>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</si>
  <si>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</si>
  <si>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</si>
  <si>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</si>
  <si>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</si>
  <si>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</si>
  <si>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</si>
  <si>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RRV Only</t>
  </si>
  <si>
    <t>spine 3</t>
  </si>
  <si>
    <t>added 57.8</t>
  </si>
  <si>
    <t>remove 57.8</t>
  </si>
  <si>
    <t>repeat</t>
  </si>
  <si>
    <t>moved weight back as much as possible</t>
  </si>
  <si>
    <t>added 30g</t>
  </si>
  <si>
    <t>spine 1</t>
  </si>
  <si>
    <t>added 143.8</t>
  </si>
  <si>
    <t>add 57.8g</t>
  </si>
  <si>
    <t>moved 143.8 2cm behind rear wheel</t>
  </si>
  <si>
    <t>removed 143.8</t>
  </si>
  <si>
    <t>moved weight forward</t>
  </si>
  <si>
    <t>spine 0</t>
  </si>
  <si>
    <t>moved big mass 2 slots  back</t>
  </si>
  <si>
    <t>spine 2</t>
  </si>
  <si>
    <t>moved 272.8g behind rear wheel</t>
  </si>
  <si>
    <t>moved 272.8 forward</t>
  </si>
  <si>
    <t>moved 272.8 a little back</t>
  </si>
  <si>
    <t>spine 4</t>
  </si>
  <si>
    <t>move mass further back</t>
  </si>
  <si>
    <t>moved 210g directly above rear wheel</t>
  </si>
  <si>
    <t>Balance 1 - #3 Front</t>
  </si>
  <si>
    <t>Balance 2 - #1 Front</t>
  </si>
  <si>
    <t>Balance 3 - #0 Front</t>
  </si>
  <si>
    <t>Balance 4 - #2 Front</t>
  </si>
  <si>
    <t>Balance 5 - #4 Front</t>
  </si>
  <si>
    <t>SubTotal (1-5)(g)</t>
  </si>
  <si>
    <t>Balance 6 - # 3 Rear</t>
  </si>
  <si>
    <t>Balance 7 - #1 Rear</t>
  </si>
  <si>
    <t>Balance 8 - #0 Rear</t>
  </si>
  <si>
    <t>Balance 9 - #2 Rear</t>
  </si>
  <si>
    <t>Balance 10 - #4 Rear</t>
  </si>
  <si>
    <t>SubTotal(6-10)(g)</t>
  </si>
  <si>
    <t>TotalMass(g)</t>
  </si>
  <si>
    <t>TotalMoment (g-cm)</t>
  </si>
  <si>
    <t>CG (% of chord)</t>
  </si>
  <si>
    <t>Weight S3</t>
  </si>
  <si>
    <t>Weight S1</t>
  </si>
  <si>
    <t>Weight S0</t>
  </si>
  <si>
    <t>Weight S2</t>
  </si>
  <si>
    <t>Weight S4</t>
  </si>
  <si>
    <t>Moment S3 (g-cm)</t>
  </si>
  <si>
    <t>Moment S1 (g-cm)</t>
  </si>
  <si>
    <t>Moment S0 (g-cm)</t>
  </si>
  <si>
    <t>Moment S2 (g-cm)</t>
  </si>
  <si>
    <t>Moment S4 (g-cm)</t>
  </si>
  <si>
    <t>Xcg S3 (%)</t>
  </si>
  <si>
    <t>Xcg S1 (%)</t>
  </si>
  <si>
    <t>Xcg S0 (%)</t>
  </si>
  <si>
    <t>Xcg S2 (%)</t>
  </si>
  <si>
    <t>Xcg S4 (%)</t>
  </si>
  <si>
    <t>Y moment front</t>
  </si>
  <si>
    <t>Y moment rear</t>
  </si>
  <si>
    <t>Net YCG</t>
  </si>
  <si>
    <t>RRV Initial Apr 2019</t>
  </si>
  <si>
    <t>ATV Ma</t>
  </si>
  <si>
    <t>4/26/2019 RRV config 1</t>
  </si>
  <si>
    <t>05/10/19 RRV config 2</t>
  </si>
  <si>
    <t>ATV</t>
  </si>
  <si>
    <t>RRV Apr 19</t>
  </si>
  <si>
    <t>% Diff</t>
  </si>
  <si>
    <t>Mass [g]</t>
  </si>
  <si>
    <t>XCG</t>
  </si>
  <si>
    <t>YCG</t>
  </si>
  <si>
    <t>Spine 3</t>
  </si>
  <si>
    <t>Spine 1</t>
  </si>
  <si>
    <t>Spine 0</t>
  </si>
  <si>
    <t>Spine 2</t>
  </si>
  <si>
    <t>Spine 4</t>
  </si>
  <si>
    <t>Observations : Bilal</t>
  </si>
  <si>
    <t>Scale #</t>
  </si>
  <si>
    <t>Comments about slope</t>
  </si>
  <si>
    <t>After Fix</t>
  </si>
  <si>
    <t>Spine</t>
  </si>
  <si>
    <t>Front</t>
  </si>
  <si>
    <t>Rear</t>
  </si>
  <si>
    <t>Front and Rear (chordwise)</t>
  </si>
  <si>
    <t>Adjacent Station (spanwise)</t>
  </si>
  <si>
    <t>Spine 3 and 1</t>
  </si>
  <si>
    <t>Spine 1 and 0</t>
  </si>
  <si>
    <t>Spine 0 and 2</t>
  </si>
  <si>
    <t>Spine 2 and 4</t>
  </si>
  <si>
    <t>Tilts towards rear</t>
  </si>
  <si>
    <t>Flat Front and Rear </t>
  </si>
  <si>
    <t>Level</t>
  </si>
  <si>
    <t>Tilts towards spine 1 in the front, flat in rear </t>
  </si>
  <si>
    <t>Flat Front and Rear between </t>
  </si>
  <si>
    <t>Tilts towards rear less severe than first 3</t>
  </si>
  <si>
    <t>Tilts towards spine 4 both front and rear</t>
  </si>
  <si>
    <t xml:space="preserve">Tilts towards rear least severe </t>
  </si>
  <si>
    <t>Observations : Jack</t>
  </si>
  <si>
    <t xml:space="preserve">Comments about slope after washers </t>
  </si>
  <si>
    <t>Front and Rear</t>
  </si>
  <si>
    <t>Adjacent Station</t>
  </si>
  <si>
    <t>slightly tilts towards front after washers</t>
  </si>
  <si>
    <t>level front and rear after washers</t>
  </si>
  <si>
    <t>level after washers</t>
  </si>
  <si>
    <t>slightly tilts towards rear after washers</t>
  </si>
  <si>
    <t>level</t>
  </si>
  <si>
    <t>Comments/Questions about washers</t>
  </si>
  <si>
    <t>Response</t>
  </si>
  <si>
    <t>Do we want center of scales to be flatest, even if it makes the edges not as flat?</t>
  </si>
  <si>
    <t>No, since the scales themselves have a natural slope</t>
  </si>
  <si>
    <t>Does an individual scale have to be level throughout? (if you add one washer, do you need to do the same for the other 3 corners of the scale?</t>
  </si>
  <si>
    <t>Yes, otherwise it'll wobble</t>
  </si>
  <si>
    <t>make sure wires are not under corners of scale</t>
  </si>
  <si>
    <t>Of course</t>
  </si>
  <si>
    <t xml:space="preserve"> 20/10/17 </t>
  </si>
  <si>
    <t>Holes are referenced from the end of the ballast plate</t>
  </si>
  <si>
    <t>Spine #</t>
  </si>
  <si>
    <t>Current Ballast Mass Setup</t>
  </si>
  <si>
    <t>mass attached to holes</t>
  </si>
  <si>
    <t xml:space="preserve"> preadjRRV cg%</t>
  </si>
  <si>
    <t>adjustment1</t>
  </si>
  <si>
    <t>adjustment 2</t>
  </si>
  <si>
    <t>ATV%</t>
  </si>
  <si>
    <t>adj. RRVcg %</t>
  </si>
  <si>
    <t>initial</t>
  </si>
  <si>
    <t>115g plate + 137.4 mass</t>
  </si>
  <si>
    <t>6th and 6th from rear</t>
  </si>
  <si>
    <t>none</t>
  </si>
  <si>
    <t>115g plate + 140g mass + 20g plate</t>
  </si>
  <si>
    <t>4 and 3rd from rear</t>
  </si>
  <si>
    <t>took off 20g plate, shifted both screws back by one</t>
  </si>
  <si>
    <t>965g- 3 plates (top plate 272.8g)</t>
  </si>
  <si>
    <t>2 and 2nd from rear</t>
  </si>
  <si>
    <t>removed 25g from each camera</t>
  </si>
  <si>
    <t>take off ballast mass (272.8g) and swap wi spine 2(120g)</t>
  </si>
  <si>
    <t>115g plate + 120g mass</t>
  </si>
  <si>
    <t>shifted both screws forward by one</t>
  </si>
  <si>
    <t>take off 120g ballast mass and swap with 272.8 from spine0</t>
  </si>
  <si>
    <t>115g plate + 139.1g mass</t>
  </si>
  <si>
    <t>shifted both screws back by 2</t>
  </si>
  <si>
    <t>02/28/18</t>
  </si>
  <si>
    <t>mass in grams</t>
  </si>
  <si>
    <t>Ballast Mass Setup</t>
  </si>
  <si>
    <t>predadjRRV cg%</t>
  </si>
  <si>
    <t>ATV %</t>
  </si>
  <si>
    <t>adj2 %</t>
  </si>
  <si>
    <t>removed</t>
  </si>
  <si>
    <t>added</t>
  </si>
  <si>
    <t>final</t>
  </si>
  <si>
    <t>Remarks</t>
  </si>
  <si>
    <t>removed gopro(201.1g) and 137.4g , added 210.5g</t>
  </si>
  <si>
    <t>GoPro connectedd to holes 4,1 and 4,4 w/mass incl. attachment of 201.1g</t>
  </si>
  <si>
    <t xml:space="preserve">115g plate + 140g mass </t>
  </si>
  <si>
    <t>3rd and 2nd from rear</t>
  </si>
  <si>
    <t>removed 140.9,(added 225.3g mass +40.1g plate)</t>
  </si>
  <si>
    <t>mass connected at 1,1 and 2,2 on 40g plate, 40g plate at 1,1 &amp; 1,3</t>
  </si>
  <si>
    <t>812.2g- 3 plates (top plate 120g)</t>
  </si>
  <si>
    <t>swapped 120g plate with 272.8g from #2</t>
  </si>
  <si>
    <t>115g plate + 272.8g mass</t>
  </si>
  <si>
    <t>3rd and 3rd from rear</t>
  </si>
  <si>
    <t>swapped 272.8g plate with 120g from #0</t>
  </si>
  <si>
    <t>mass connected at 1,2 and 1,4</t>
  </si>
  <si>
    <t>4th and 4th from rear</t>
  </si>
  <si>
    <t>removed gopro 199.8, and added 190.7</t>
  </si>
  <si>
    <t>mass added at 8,2 and 10,4 other mass is at 4,1 and 4,5</t>
  </si>
  <si>
    <t>GoPro connectedd to holes 4,1 and 4,4 w/mass incl. attachment of 199.8g</t>
  </si>
  <si>
    <t>03/15/18</t>
  </si>
  <si>
    <t>114g plate + 210.5g mass =324.5g</t>
  </si>
  <si>
    <t>115g plate+ 40g plate+ 225.3g mass</t>
  </si>
  <si>
    <t>mass 1,1 and 2,2, plate at 1,1 and 1,3</t>
  </si>
  <si>
    <t>replaced 225.3 g mass with 219g, with higher rear bias</t>
  </si>
  <si>
    <t>60g plate + 905g masses =965g</t>
  </si>
  <si>
    <t>moved mass to 1,5 and 2,5 (3 positions forward)</t>
  </si>
  <si>
    <t>115g plate + 120g mass = 235g</t>
  </si>
  <si>
    <t>1,2 and 1,4</t>
  </si>
  <si>
    <t>115g plate + 190.7+139.1g mass = 448.4g</t>
  </si>
  <si>
    <t>both masses attached at 4,1 and 4,5</t>
  </si>
  <si>
    <t>mass in grams adj1</t>
  </si>
  <si>
    <t>mass in grams adj 2</t>
  </si>
  <si>
    <t>mass in grams adj 3</t>
  </si>
  <si>
    <t>9,1 and 9,5</t>
  </si>
  <si>
    <t>mass moved to 10,1 and 10,5</t>
  </si>
  <si>
    <t xml:space="preserve">114g plate + 36.8g plate + 139.1g mass at at 3,2 and 6,2 </t>
  </si>
  <si>
    <t>115g plate + 224g mass + 40g plate</t>
  </si>
  <si>
    <t>mass at 1,1 and 2,2, plate at 1,1 and 1,3</t>
  </si>
  <si>
    <t>moved mass and 40g plate back to under the rear wheel</t>
  </si>
  <si>
    <t>5,1 and 5,2</t>
  </si>
  <si>
    <t xml:space="preserve">swap 272.8 g with 120 from #2, 120 g attached at 12,1 and 12,2 </t>
  </si>
  <si>
    <t>swapped 120g mass with 272.5g from #0, 272.8 attached at 7,2 and 8,5</t>
  </si>
  <si>
    <t>4,1 and 4,5</t>
  </si>
  <si>
    <t>removed 190.7 and 139.1, added 219.3+50.4</t>
  </si>
  <si>
    <t>Foam Mass (g)</t>
  </si>
  <si>
    <t>current ballast mass (g)</t>
  </si>
  <si>
    <t>allowable ballast mass (g)</t>
  </si>
  <si>
    <t>Post crash 07/21/18 mass foam+ballast</t>
  </si>
  <si>
    <t>0R+L</t>
  </si>
  <si>
    <t>Summer 19 Flight Tests Configuration 1: No Foam</t>
  </si>
  <si>
    <t>Ballast Mass [g]</t>
  </si>
  <si>
    <t>change1</t>
  </si>
  <si>
    <t>change2</t>
  </si>
  <si>
    <t>change3</t>
  </si>
  <si>
    <t>change4</t>
  </si>
  <si>
    <t>change5</t>
  </si>
  <si>
    <t>position of ballast mass wrt plate</t>
  </si>
  <si>
    <t>all the way back</t>
  </si>
  <si>
    <t>near the front</t>
  </si>
  <si>
    <t>middle</t>
  </si>
  <si>
    <t>SUM</t>
  </si>
  <si>
    <t>Summer 19 Flight Tests Configuration 2: w/ Foam Blocks</t>
  </si>
  <si>
    <t>Allowable ballast mass</t>
  </si>
  <si>
    <t>Change from Conf 1 to Conf 2</t>
  </si>
  <si>
    <t>Additional Notes</t>
  </si>
  <si>
    <t>N/A</t>
  </si>
  <si>
    <t>Trimmed mass off of aluminum plate and foam blocks, added 10.7 g of washers to compensate</t>
  </si>
  <si>
    <t>Did not change any steel plates</t>
  </si>
  <si>
    <t>replaced 142.2 and 221.9 g mass with 272.9 g plate and 4 washers</t>
  </si>
  <si>
    <t>Did not replace any mass, just added foam</t>
  </si>
  <si>
    <t>. Could not fit all of the foam originally planned due to problems with instrument access</t>
  </si>
  <si>
    <t>Remove 270.6 g plate and replace with 218.6 g square plate</t>
  </si>
  <si>
    <t>Remove 50.4 g plate, but 32.6g of washers on bolts, put foam through bolts</t>
  </si>
  <si>
    <t>Need to take out battery to switch</t>
  </si>
  <si>
    <t>with foam blocks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</si>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</sst>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6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Times New Roman"/>
      <family val="1"/>
    </font>
    <font>
      <sz val="16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9" borderId="0" applyNumberFormat="0" applyBorder="0" applyAlignment="0" applyProtection="0"/>
  </cellStyleXfs>
  <cellXfs count="173">
    <xf numFmtId="0" fontId="0" fillId="0" borderId="0" xfId="0"/>
    <xf numFmtId="0" fontId="0" fillId="0" borderId="4" xfId="0" applyBorder="1" applyAlignment="1">
      <alignment horizontal="center"/>
    </xf>
    <xf numFmtId="0" fontId="0" fillId="2" borderId="6" xfId="0" applyFill="1" applyBorder="1"/>
    <xf numFmtId="0" fontId="0" fillId="0" borderId="8" xfId="0" applyBorder="1" applyAlignment="1">
      <alignment horizontal="center"/>
    </xf>
    <xf numFmtId="164" fontId="3" fillId="3" borderId="7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 wrapText="1"/>
    </xf>
    <xf numFmtId="164" fontId="7" fillId="3" borderId="11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 wrapText="1"/>
    </xf>
    <xf numFmtId="164" fontId="7" fillId="3" borderId="13" xfId="0" applyNumberFormat="1" applyFont="1" applyFill="1" applyBorder="1" applyAlignment="1">
      <alignment horizontal="center" vertical="center" wrapText="1"/>
    </xf>
    <xf numFmtId="164" fontId="9" fillId="3" borderId="17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/>
    </xf>
    <xf numFmtId="2" fontId="9" fillId="3" borderId="17" xfId="1" applyNumberFormat="1" applyFont="1" applyFill="1" applyBorder="1" applyAlignment="1">
      <alignment horizontal="center" vertical="center" wrapText="1"/>
    </xf>
    <xf numFmtId="2" fontId="2" fillId="0" borderId="17" xfId="1" applyNumberFormat="1" applyFont="1" applyBorder="1" applyAlignment="1">
      <alignment horizontal="center"/>
    </xf>
    <xf numFmtId="2" fontId="0" fillId="0" borderId="0" xfId="1" applyNumberFormat="1" applyFont="1"/>
    <xf numFmtId="2" fontId="9" fillId="3" borderId="18" xfId="1" applyNumberFormat="1" applyFont="1" applyFill="1" applyBorder="1" applyAlignment="1">
      <alignment horizontal="center" vertical="center" wrapText="1"/>
    </xf>
    <xf numFmtId="2" fontId="2" fillId="0" borderId="18" xfId="1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164" fontId="3" fillId="3" borderId="16" xfId="0" applyNumberFormat="1" applyFont="1" applyFill="1" applyBorder="1" applyAlignment="1">
      <alignment horizontal="center" vertical="center" wrapText="1"/>
    </xf>
    <xf numFmtId="164" fontId="3" fillId="3" borderId="22" xfId="0" applyNumberFormat="1" applyFont="1" applyFill="1" applyBorder="1" applyAlignment="1">
      <alignment horizontal="center" vertical="top" wrapText="1"/>
    </xf>
    <xf numFmtId="0" fontId="0" fillId="0" borderId="21" xfId="0" applyBorder="1"/>
    <xf numFmtId="0" fontId="0" fillId="2" borderId="23" xfId="0" applyFill="1" applyBorder="1"/>
    <xf numFmtId="164" fontId="3" fillId="3" borderId="24" xfId="0" applyNumberFormat="1" applyFont="1" applyFill="1" applyBorder="1" applyAlignment="1">
      <alignment horizontal="center" vertical="top" wrapText="1"/>
    </xf>
    <xf numFmtId="164" fontId="7" fillId="3" borderId="19" xfId="0" applyNumberFormat="1" applyFont="1" applyFill="1" applyBorder="1" applyAlignment="1">
      <alignment horizontal="center" vertical="center" wrapText="1"/>
    </xf>
    <xf numFmtId="164" fontId="9" fillId="3" borderId="25" xfId="0" applyNumberFormat="1" applyFont="1" applyFill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" xfId="0" applyFill="1" applyBorder="1"/>
    <xf numFmtId="0" fontId="0" fillId="2" borderId="27" xfId="0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 vertical="center" wrapText="1"/>
    </xf>
    <xf numFmtId="164" fontId="9" fillId="3" borderId="29" xfId="0" applyNumberFormat="1" applyFont="1" applyFill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/>
    </xf>
    <xf numFmtId="0" fontId="0" fillId="0" borderId="3" xfId="0" applyBorder="1"/>
    <xf numFmtId="165" fontId="9" fillId="3" borderId="29" xfId="0" applyNumberFormat="1" applyFont="1" applyFill="1" applyBorder="1" applyAlignment="1">
      <alignment horizontal="center" vertical="center" wrapText="1"/>
    </xf>
    <xf numFmtId="165" fontId="10" fillId="0" borderId="29" xfId="0" applyNumberFormat="1" applyFont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2" fontId="9" fillId="3" borderId="25" xfId="1" applyNumberFormat="1" applyFont="1" applyFill="1" applyBorder="1" applyAlignment="1">
      <alignment horizontal="center" vertical="center" wrapText="1"/>
    </xf>
    <xf numFmtId="2" fontId="2" fillId="0" borderId="25" xfId="1" applyNumberFormat="1" applyFont="1" applyBorder="1" applyAlignment="1">
      <alignment horizontal="center"/>
    </xf>
    <xf numFmtId="2" fontId="9" fillId="3" borderId="29" xfId="1" applyNumberFormat="1" applyFont="1" applyFill="1" applyBorder="1" applyAlignment="1">
      <alignment horizontal="center" vertical="center" wrapText="1"/>
    </xf>
    <xf numFmtId="2" fontId="2" fillId="0" borderId="29" xfId="1" applyNumberFormat="1" applyFont="1" applyBorder="1" applyAlignment="1">
      <alignment horizontal="center"/>
    </xf>
    <xf numFmtId="2" fontId="0" fillId="0" borderId="3" xfId="1" applyNumberFormat="1" applyFont="1" applyBorder="1"/>
    <xf numFmtId="2" fontId="0" fillId="0" borderId="21" xfId="1" applyNumberFormat="1" applyFont="1" applyBorder="1"/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10" fontId="5" fillId="6" borderId="9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/>
    <xf numFmtId="0" fontId="0" fillId="0" borderId="5" xfId="0" applyBorder="1" applyAlignment="1">
      <alignment horizontal="left"/>
    </xf>
    <xf numFmtId="0" fontId="0" fillId="0" borderId="0" xfId="0" applyFill="1"/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2" fontId="0" fillId="0" borderId="7" xfId="0" applyNumberForma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 vertical="center" wrapText="1"/>
    </xf>
    <xf numFmtId="164" fontId="3" fillId="0" borderId="30" xfId="0" applyNumberFormat="1" applyFont="1" applyBorder="1" applyAlignment="1">
      <alignment horizontal="center" vertical="center" wrapText="1"/>
    </xf>
    <xf numFmtId="164" fontId="3" fillId="0" borderId="34" xfId="0" applyNumberFormat="1" applyFont="1" applyBorder="1" applyAlignment="1">
      <alignment horizontal="center" vertical="center" wrapText="1"/>
    </xf>
    <xf numFmtId="164" fontId="3" fillId="0" borderId="35" xfId="0" applyNumberFormat="1" applyFont="1" applyBorder="1" applyAlignment="1">
      <alignment horizontal="center" vertical="center" wrapText="1"/>
    </xf>
    <xf numFmtId="164" fontId="3" fillId="3" borderId="30" xfId="0" applyNumberFormat="1" applyFont="1" applyFill="1" applyBorder="1" applyAlignment="1">
      <alignment horizontal="center" vertical="center" wrapText="1"/>
    </xf>
    <xf numFmtId="164" fontId="3" fillId="3" borderId="34" xfId="0" applyNumberFormat="1" applyFont="1" applyFill="1" applyBorder="1" applyAlignment="1">
      <alignment horizontal="center" vertical="center" wrapText="1"/>
    </xf>
    <xf numFmtId="164" fontId="3" fillId="3" borderId="35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6" xfId="0" applyBorder="1" applyAlignment="1">
      <alignment horizontal="center"/>
    </xf>
    <xf numFmtId="2" fontId="3" fillId="0" borderId="17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164" fontId="13" fillId="0" borderId="7" xfId="0" applyNumberFormat="1" applyFont="1" applyBorder="1" applyAlignment="1">
      <alignment horizontal="center" vertical="center" wrapText="1"/>
    </xf>
    <xf numFmtId="164" fontId="13" fillId="0" borderId="3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6" xfId="0" applyNumberFormat="1" applyFont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9" fillId="0" borderId="36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36" xfId="0" applyNumberFormat="1" applyFont="1" applyBorder="1" applyAlignment="1">
      <alignment horizontal="center" vertical="center" wrapText="1"/>
    </xf>
    <xf numFmtId="165" fontId="14" fillId="0" borderId="17" xfId="0" applyNumberFormat="1" applyFont="1" applyBorder="1" applyAlignment="1">
      <alignment horizontal="center" vertical="center" wrapText="1"/>
    </xf>
    <xf numFmtId="165" fontId="15" fillId="7" borderId="17" xfId="0" applyNumberFormat="1" applyFont="1" applyFill="1" applyBorder="1" applyAlignment="1">
      <alignment horizontal="center" vertical="center" wrapText="1"/>
    </xf>
    <xf numFmtId="165" fontId="15" fillId="7" borderId="7" xfId="0" applyNumberFormat="1" applyFont="1" applyFill="1" applyBorder="1" applyAlignment="1">
      <alignment horizontal="center" vertical="center" wrapText="1"/>
    </xf>
    <xf numFmtId="165" fontId="15" fillId="7" borderId="36" xfId="0" applyNumberFormat="1" applyFont="1" applyFill="1" applyBorder="1" applyAlignment="1">
      <alignment horizontal="center" vertical="center" wrapText="1"/>
    </xf>
    <xf numFmtId="165" fontId="5" fillId="7" borderId="17" xfId="0" applyNumberFormat="1" applyFont="1" applyFill="1" applyBorder="1" applyAlignment="1">
      <alignment horizontal="center" vertical="center" wrapText="1"/>
    </xf>
    <xf numFmtId="165" fontId="5" fillId="7" borderId="7" xfId="0" applyNumberFormat="1" applyFont="1" applyFill="1" applyBorder="1" applyAlignment="1">
      <alignment horizontal="center" vertical="center" wrapText="1"/>
    </xf>
    <xf numFmtId="165" fontId="5" fillId="7" borderId="36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36" xfId="0" applyNumberFormat="1" applyFont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11" fillId="0" borderId="18" xfId="1" applyNumberFormat="1" applyFont="1" applyBorder="1" applyAlignment="1">
      <alignment horizontal="center"/>
    </xf>
    <xf numFmtId="2" fontId="12" fillId="8" borderId="18" xfId="1" applyNumberFormat="1" applyFont="1" applyFill="1" applyBorder="1" applyAlignment="1">
      <alignment horizontal="center"/>
    </xf>
    <xf numFmtId="2" fontId="12" fillId="8" borderId="37" xfId="1" applyNumberFormat="1" applyFont="1" applyFill="1" applyBorder="1" applyAlignment="1">
      <alignment horizontal="center"/>
    </xf>
    <xf numFmtId="2" fontId="12" fillId="8" borderId="38" xfId="1" applyNumberFormat="1" applyFont="1" applyFill="1" applyBorder="1" applyAlignment="1">
      <alignment horizontal="center"/>
    </xf>
    <xf numFmtId="2" fontId="0" fillId="8" borderId="18" xfId="1" applyNumberFormat="1" applyFont="1" applyFill="1" applyBorder="1" applyAlignment="1">
      <alignment horizontal="center"/>
    </xf>
    <xf numFmtId="2" fontId="0" fillId="8" borderId="37" xfId="1" applyNumberFormat="1" applyFont="1" applyFill="1" applyBorder="1" applyAlignment="1">
      <alignment horizontal="center"/>
    </xf>
    <xf numFmtId="2" fontId="0" fillId="8" borderId="38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7" fontId="16" fillId="4" borderId="9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0" applyNumberFormat="1"/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14" fontId="0" fillId="0" borderId="0" xfId="0" applyNumberFormat="1"/>
    <xf numFmtId="164" fontId="0" fillId="0" borderId="7" xfId="0" applyNumberFormat="1" applyBorder="1" applyAlignment="1">
      <alignment horizontal="left"/>
    </xf>
    <xf numFmtId="0" fontId="17" fillId="9" borderId="7" xfId="2" applyBorder="1" applyAlignment="1">
      <alignment horizontal="left"/>
    </xf>
    <xf numFmtId="164" fontId="0" fillId="0" borderId="0" xfId="0" applyNumberFormat="1"/>
    <xf numFmtId="17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wrapText="1"/>
    </xf>
    <xf numFmtId="165" fontId="5" fillId="4" borderId="9" xfId="0" applyNumberFormat="1" applyFont="1" applyFill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lal\OneDrive\Michigan\2018\Winter%202018\Work\Mass%20and%20CG%20Balance\Mass%20and%20C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ATV Only Summary"/>
      <sheetName val="Mass_CG Raw Data"/>
      <sheetName val="Scales"/>
      <sheetName val="trackchanges"/>
      <sheetName val="ATV Trends"/>
      <sheetName val="Summary2"/>
      <sheetName val="dlm1"/>
      <sheetName val="dlm2"/>
      <sheetName val="dlm3"/>
      <sheetName val="dlm4"/>
      <sheetName val="May 18 ATV "/>
      <sheetName val="dlm5"/>
      <sheetName val="dlm6"/>
      <sheetName val="RRV and ATV Nov 17 Flight "/>
      <sheetName val="Fairings"/>
    </sheetNames>
    <sheetDataSet>
      <sheetData sheetId="0">
        <row r="43">
          <cell r="O43">
            <v>34.435229142354423</v>
          </cell>
        </row>
        <row r="44">
          <cell r="O44">
            <v>37.733484840131204</v>
          </cell>
        </row>
        <row r="45">
          <cell r="O45">
            <v>41.38478272975911</v>
          </cell>
        </row>
        <row r="46">
          <cell r="O46">
            <v>44.772644260829409</v>
          </cell>
        </row>
        <row r="47">
          <cell r="O47">
            <v>32.260510585419937</v>
          </cell>
        </row>
      </sheetData>
      <sheetData sheetId="1">
        <row r="40">
          <cell r="B40">
            <v>37.171659949187635</v>
          </cell>
        </row>
        <row r="41">
          <cell r="B41">
            <v>47.684076697520744</v>
          </cell>
        </row>
        <row r="42">
          <cell r="B42">
            <v>34.206952000490709</v>
          </cell>
        </row>
        <row r="43">
          <cell r="B43">
            <v>44.388213520032821</v>
          </cell>
        </row>
        <row r="44">
          <cell r="B44">
            <v>39.535339695544444</v>
          </cell>
        </row>
      </sheetData>
      <sheetData sheetId="2">
        <row r="43">
          <cell r="F43">
            <v>39.530195381882763</v>
          </cell>
          <cell r="G43">
            <v>36.741499564080208</v>
          </cell>
          <cell r="H43">
            <v>34.428525544944534</v>
          </cell>
          <cell r="I43">
            <v>36.742462538364329</v>
          </cell>
          <cell r="J43">
            <v>39.832179324247335</v>
          </cell>
          <cell r="K43">
            <v>38.989463220675944</v>
          </cell>
          <cell r="L43">
            <v>39.937914859722071</v>
          </cell>
          <cell r="M43">
            <v>43.128698612202157</v>
          </cell>
          <cell r="N43">
            <v>31.188785170181855</v>
          </cell>
          <cell r="O43">
            <v>30.473784449921581</v>
          </cell>
          <cell r="P43">
            <v>31.054197662061629</v>
          </cell>
          <cell r="EJ43">
            <v>39.361280892904588</v>
          </cell>
          <cell r="EK43">
            <v>37.239720073024429</v>
          </cell>
          <cell r="EL43">
            <v>39.507170906607463</v>
          </cell>
          <cell r="EM43">
            <v>36.458437656484712</v>
          </cell>
          <cell r="EN43">
            <v>37.481341625944019</v>
          </cell>
          <cell r="EO43">
            <v>39.513664273977348</v>
          </cell>
          <cell r="EP43">
            <v>36.330011938653684</v>
          </cell>
          <cell r="EQ43">
            <v>35.164939257497238</v>
          </cell>
        </row>
        <row r="44">
          <cell r="F44">
            <v>36.166666666666664</v>
          </cell>
          <cell r="G44">
            <v>38.364416159380191</v>
          </cell>
          <cell r="H44">
            <v>37.07757526819703</v>
          </cell>
          <cell r="I44">
            <v>51.499999999999993</v>
          </cell>
          <cell r="J44">
            <v>51.499999999999993</v>
          </cell>
          <cell r="K44">
            <v>51.499999999999993</v>
          </cell>
          <cell r="L44">
            <v>49.730142806562021</v>
          </cell>
          <cell r="M44">
            <v>46.01584763012503</v>
          </cell>
          <cell r="N44">
            <v>51.499999999999993</v>
          </cell>
          <cell r="O44">
            <v>51.499999999999993</v>
          </cell>
          <cell r="P44">
            <v>51.499999999999993</v>
          </cell>
          <cell r="EJ44">
            <v>30.27328747492118</v>
          </cell>
          <cell r="EK44">
            <v>32.171450417597924</v>
          </cell>
          <cell r="EL44">
            <v>34.261431411530808</v>
          </cell>
          <cell r="EM44">
            <v>40.876931919785406</v>
          </cell>
          <cell r="EN44">
            <v>37.703941730934012</v>
          </cell>
          <cell r="EO44">
            <v>37.664781167866522</v>
          </cell>
          <cell r="EP44">
            <v>33.492248062015506</v>
          </cell>
          <cell r="EQ44">
            <v>35.853741496598637</v>
          </cell>
        </row>
        <row r="45">
          <cell r="F45">
            <v>46.673952366596325</v>
          </cell>
          <cell r="G45">
            <v>46.703712632594019</v>
          </cell>
          <cell r="H45">
            <v>50.620126705653014</v>
          </cell>
          <cell r="I45">
            <v>30.88228754584043</v>
          </cell>
          <cell r="J45">
            <v>29.028122463179862</v>
          </cell>
          <cell r="K45">
            <v>30.128850294244298</v>
          </cell>
          <cell r="L45">
            <v>31.352439554075573</v>
          </cell>
          <cell r="M45">
            <v>30.628977256307248</v>
          </cell>
          <cell r="N45">
            <v>42.231111437380711</v>
          </cell>
          <cell r="O45">
            <v>41.688260304712415</v>
          </cell>
          <cell r="P45">
            <v>39.550124724871594</v>
          </cell>
          <cell r="EJ45">
            <v>47.882085204515114</v>
          </cell>
          <cell r="EK45">
            <v>47.366990881458946</v>
          </cell>
          <cell r="EL45">
            <v>42.271769893049715</v>
          </cell>
          <cell r="EM45">
            <v>45.542123399578173</v>
          </cell>
          <cell r="EN45">
            <v>45.662943573574452</v>
          </cell>
          <cell r="EO45">
            <v>45.397495991118781</v>
          </cell>
          <cell r="EP45">
            <v>48.721095700833345</v>
          </cell>
          <cell r="EQ45">
            <v>49.950993831391358</v>
          </cell>
        </row>
        <row r="46">
          <cell r="F46">
            <v>35.973551637279591</v>
          </cell>
          <cell r="G46">
            <v>41.201917130488546</v>
          </cell>
          <cell r="H46">
            <v>45.578528827037779</v>
          </cell>
          <cell r="I46">
            <v>49.9520687383989</v>
          </cell>
          <cell r="J46">
            <v>51.494663882605415</v>
          </cell>
          <cell r="K46">
            <v>51.452628868928421</v>
          </cell>
          <cell r="L46">
            <v>50.551768564066521</v>
          </cell>
          <cell r="M46">
            <v>51.499999999999993</v>
          </cell>
          <cell r="N46">
            <v>51.499999999999993</v>
          </cell>
          <cell r="O46">
            <v>51.499999999999993</v>
          </cell>
          <cell r="P46">
            <v>51.499999999999993</v>
          </cell>
          <cell r="EJ46">
            <v>48.963040980467241</v>
          </cell>
          <cell r="EK46">
            <v>51.499999999999993</v>
          </cell>
          <cell r="EL46">
            <v>50.756260953134714</v>
          </cell>
          <cell r="EM46">
            <v>51.499999999999993</v>
          </cell>
          <cell r="EN46">
            <v>51.18199660202707</v>
          </cell>
          <cell r="EO46">
            <v>51.264185016893848</v>
          </cell>
          <cell r="EP46">
            <v>51.442782834850462</v>
          </cell>
          <cell r="EQ46">
            <v>51.457127046076778</v>
          </cell>
        </row>
        <row r="47">
          <cell r="F47">
            <v>23.285588752196833</v>
          </cell>
          <cell r="G47">
            <v>21.460836083608353</v>
          </cell>
          <cell r="H47">
            <v>17.702084662837692</v>
          </cell>
          <cell r="I47">
            <v>36.317430642108647</v>
          </cell>
          <cell r="J47">
            <v>33.869367698868906</v>
          </cell>
          <cell r="K47">
            <v>32.438652615732025</v>
          </cell>
          <cell r="L47">
            <v>33.824429604897041</v>
          </cell>
          <cell r="M47">
            <v>34.805203209940451</v>
          </cell>
          <cell r="N47">
            <v>28.239498796040312</v>
          </cell>
          <cell r="O47">
            <v>28.987830319888729</v>
          </cell>
          <cell r="P47">
            <v>31.770786006360741</v>
          </cell>
          <cell r="EJ47">
            <v>20.846000275368308</v>
          </cell>
          <cell r="EK47">
            <v>22.927019195943494</v>
          </cell>
          <cell r="EL47">
            <v>26.511223848433147</v>
          </cell>
          <cell r="EM47">
            <v>25.071490656236417</v>
          </cell>
          <cell r="EN47">
            <v>24.521131805157587</v>
          </cell>
          <cell r="EO47">
            <v>24.879443179828399</v>
          </cell>
          <cell r="EP47">
            <v>22.50795877996044</v>
          </cell>
          <cell r="EQ47">
            <v>20.421946252269009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BA5F-7D84-4AC9-892C-AC6A46C2B820}">
  <dimension ref="A1:BG51"/>
  <sheetViews>
    <sheetView tabSelected="1" topLeftCell="AK1" zoomScale="95" zoomScaleNormal="110" workbookViewId="0">
      <selection activeCell="AV30" sqref="AV30"/>
    </sheetView>
  </sheetViews>
  <sheetFormatPr defaultRowHeight="14.4" x14ac:dyDescent="0.3"/>
  <cols>
    <col min="1" max="1" width="21.88671875" bestFit="1" customWidth="1"/>
    <col min="2" max="2" width="12.88671875" bestFit="1" customWidth="1"/>
    <col min="3" max="3" width="13" bestFit="1" customWidth="1"/>
    <col min="4" max="5" width="10.88671875" bestFit="1" customWidth="1"/>
    <col min="6" max="6" width="11.5546875" bestFit="1" customWidth="1"/>
    <col min="7" max="7" width="10.88671875" bestFit="1" customWidth="1"/>
    <col min="8" max="59" width="11" bestFit="1" customWidth="1"/>
  </cols>
  <sheetData>
    <row r="1" spans="1:59" x14ac:dyDescent="0.3">
      <c r="A1" s="153"/>
      <c r="P1" s="66"/>
    </row>
    <row r="2" spans="1:59" x14ac:dyDescent="0.3">
      <c r="A2" s="153"/>
      <c r="P2" s="66"/>
    </row>
    <row r="3" spans="1:59" ht="15" thickBot="1" x14ac:dyDescent="0.35"/>
    <row r="4" spans="1:59" ht="16.5" customHeight="1" thickBot="1" x14ac:dyDescent="0.35">
      <c r="A4" s="13" t="s">
        <v>0</v>
      </c>
      <c r="B4" s="34"/>
      <c r="C4" s="34"/>
      <c r="D4" s="163">
        <v>43553</v>
      </c>
      <c r="E4" s="163"/>
      <c r="F4" s="163"/>
      <c r="G4" s="163"/>
      <c r="H4" s="163"/>
      <c r="I4" s="163"/>
      <c r="J4" s="163"/>
      <c r="K4" s="163"/>
      <c r="L4" s="163">
        <v>43563</v>
      </c>
      <c r="M4" s="163"/>
      <c r="N4" s="163"/>
      <c r="O4" s="163"/>
      <c r="P4" s="163"/>
      <c r="Q4" s="164"/>
      <c r="R4" s="165">
        <v>43564</v>
      </c>
      <c r="S4" s="163"/>
      <c r="T4" s="163"/>
      <c r="U4" s="163"/>
      <c r="V4" s="163"/>
      <c r="W4" s="158">
        <v>43571</v>
      </c>
      <c r="X4" s="159"/>
      <c r="Y4" s="159"/>
      <c r="Z4" s="159"/>
      <c r="AA4" s="150">
        <v>43578</v>
      </c>
      <c r="AB4" s="158">
        <v>43579</v>
      </c>
      <c r="AC4" s="159"/>
      <c r="AD4" s="159"/>
      <c r="AE4" s="159"/>
      <c r="AF4" s="159"/>
      <c r="AG4" s="159"/>
      <c r="AH4" s="159">
        <v>43580</v>
      </c>
      <c r="AI4" s="159"/>
      <c r="AJ4" s="159"/>
      <c r="AK4" s="160"/>
      <c r="AL4" s="156">
        <v>43581</v>
      </c>
      <c r="AM4" s="157"/>
      <c r="AN4" s="157"/>
      <c r="AO4" s="157"/>
      <c r="AP4" s="157"/>
      <c r="AQ4" s="157"/>
      <c r="AR4" s="157"/>
      <c r="AS4" s="157"/>
      <c r="AT4" s="157"/>
      <c r="AU4" s="157"/>
      <c r="AW4" s="156">
        <v>43595</v>
      </c>
      <c r="AX4" s="157"/>
      <c r="AY4" s="157"/>
      <c r="AZ4" s="157"/>
      <c r="BA4" s="157"/>
      <c r="BB4" s="157"/>
      <c r="BC4" s="157"/>
      <c r="BD4" s="157"/>
      <c r="BE4" s="157"/>
      <c r="BF4" s="157"/>
    </row>
    <row r="5" spans="1:59" ht="31.8" thickBot="1" x14ac:dyDescent="0.35">
      <c r="A5" s="35" t="s">
        <v>1</v>
      </c>
      <c r="B5" t="s">
        <v>2</v>
      </c>
      <c r="C5" t="s">
        <v>3</v>
      </c>
      <c r="D5" s="33" t="s">
        <v>4</v>
      </c>
      <c r="E5" s="33" t="s">
        <v>5</v>
      </c>
      <c r="F5" s="33" t="s">
        <v>6</v>
      </c>
      <c r="G5" s="33" t="s">
        <v>7</v>
      </c>
      <c r="H5" s="33" t="s">
        <v>8</v>
      </c>
      <c r="I5" s="33" t="s">
        <v>9</v>
      </c>
      <c r="J5" s="33" t="s">
        <v>10</v>
      </c>
      <c r="K5" s="33" t="s">
        <v>4</v>
      </c>
      <c r="L5" s="33" t="s">
        <v>5</v>
      </c>
      <c r="M5" s="33" t="s">
        <v>6</v>
      </c>
      <c r="N5" s="33" t="s">
        <v>7</v>
      </c>
      <c r="O5" s="33" t="s">
        <v>8</v>
      </c>
      <c r="P5" s="33" t="s">
        <v>9</v>
      </c>
      <c r="Q5" s="33" t="s">
        <v>10</v>
      </c>
      <c r="R5" s="33" t="s">
        <v>4</v>
      </c>
      <c r="S5" s="33" t="s">
        <v>5</v>
      </c>
      <c r="T5" s="33" t="s">
        <v>6</v>
      </c>
      <c r="U5" s="33" t="s">
        <v>7</v>
      </c>
      <c r="V5" s="33" t="s">
        <v>8</v>
      </c>
      <c r="W5" s="33" t="s">
        <v>9</v>
      </c>
      <c r="X5" s="33" t="s">
        <v>10</v>
      </c>
      <c r="Y5" s="33" t="s">
        <v>11</v>
      </c>
      <c r="Z5" s="33" t="s">
        <v>11</v>
      </c>
      <c r="AA5" s="33" t="s">
        <v>11</v>
      </c>
      <c r="AB5" s="33" t="s">
        <v>4</v>
      </c>
      <c r="AC5" s="33" t="s">
        <v>5</v>
      </c>
      <c r="AD5" s="33" t="s">
        <v>6</v>
      </c>
      <c r="AE5" s="33" t="s">
        <v>7</v>
      </c>
      <c r="AF5" s="33" t="s">
        <v>8</v>
      </c>
      <c r="AG5" s="33" t="s">
        <v>9</v>
      </c>
      <c r="AH5" s="33" t="s">
        <v>10</v>
      </c>
      <c r="AI5" s="33" t="s">
        <v>11</v>
      </c>
      <c r="AJ5" s="33" t="s">
        <v>12</v>
      </c>
      <c r="AK5" s="33" t="s">
        <v>13</v>
      </c>
      <c r="AL5" s="33" t="s">
        <v>4</v>
      </c>
      <c r="AM5" s="33" t="s">
        <v>5</v>
      </c>
      <c r="AN5" s="33" t="s">
        <v>6</v>
      </c>
      <c r="AO5" s="33" t="s">
        <v>7</v>
      </c>
      <c r="AP5" s="33" t="s">
        <v>8</v>
      </c>
      <c r="AQ5" s="33" t="s">
        <v>9</v>
      </c>
      <c r="AR5" s="33" t="s">
        <v>10</v>
      </c>
      <c r="AS5" s="33" t="s">
        <v>11</v>
      </c>
      <c r="AT5" s="33" t="s">
        <v>12</v>
      </c>
      <c r="AU5" s="33" t="s">
        <v>13</v>
      </c>
      <c r="AV5" s="33" t="s">
        <v>14</v>
      </c>
      <c r="AW5" s="33" t="s">
        <v>4</v>
      </c>
      <c r="AX5" s="33" t="s">
        <v>5</v>
      </c>
      <c r="AY5" s="33" t="s">
        <v>6</v>
      </c>
      <c r="AZ5" s="33" t="s">
        <v>7</v>
      </c>
      <c r="BA5" s="33" t="s">
        <v>8</v>
      </c>
      <c r="BB5" s="33" t="s">
        <v>9</v>
      </c>
      <c r="BC5" s="33" t="s">
        <v>10</v>
      </c>
      <c r="BD5" s="33" t="s">
        <v>11</v>
      </c>
      <c r="BE5" s="33" t="s">
        <v>12</v>
      </c>
      <c r="BF5" s="33" t="s">
        <v>13</v>
      </c>
      <c r="BG5" s="33" t="s">
        <v>14</v>
      </c>
    </row>
    <row r="6" spans="1:59" ht="15" thickBot="1" x14ac:dyDescent="0.35">
      <c r="A6" s="14"/>
      <c r="B6" s="34"/>
      <c r="C6" s="37"/>
      <c r="D6" s="161" t="s">
        <v>15</v>
      </c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AW6" s="162" t="s">
        <v>230</v>
      </c>
      <c r="AX6" s="162"/>
      <c r="AY6" s="162"/>
      <c r="AZ6" s="162"/>
      <c r="BA6" s="162"/>
      <c r="BB6" s="162"/>
      <c r="BC6" s="162"/>
      <c r="BD6" s="162"/>
      <c r="BE6" s="162"/>
      <c r="BF6" s="162"/>
      <c r="BG6" s="162"/>
    </row>
    <row r="7" spans="1:59" ht="15.6" x14ac:dyDescent="0.3">
      <c r="A7" s="36" t="s">
        <v>16</v>
      </c>
      <c r="D7" s="1"/>
      <c r="E7" s="1"/>
      <c r="F7" s="152" t="s">
        <v>17</v>
      </c>
      <c r="G7" s="1"/>
      <c r="H7" s="1"/>
      <c r="I7" s="1"/>
      <c r="J7" s="1"/>
      <c r="K7" s="1"/>
      <c r="L7" s="1"/>
      <c r="M7" s="1"/>
      <c r="N7" s="1"/>
      <c r="O7" s="1"/>
      <c r="P7" s="62"/>
      <c r="Q7" s="1"/>
      <c r="R7" s="1"/>
      <c r="S7" s="62" t="s">
        <v>18</v>
      </c>
      <c r="T7" s="1" t="s">
        <v>19</v>
      </c>
      <c r="U7" s="1" t="s">
        <v>19</v>
      </c>
      <c r="V7" s="1"/>
      <c r="W7" s="62"/>
      <c r="X7" s="1"/>
      <c r="Y7" s="1"/>
      <c r="Z7" s="1"/>
      <c r="AA7" s="1"/>
      <c r="AB7" s="62"/>
      <c r="AC7" s="1"/>
      <c r="AD7" s="1"/>
      <c r="AE7" s="72" t="s">
        <v>20</v>
      </c>
      <c r="AF7" s="1"/>
      <c r="AG7" s="1"/>
      <c r="AH7" s="1"/>
      <c r="AI7" s="1"/>
      <c r="AJ7" s="1"/>
      <c r="AK7" s="1"/>
      <c r="AL7" s="1" t="s">
        <v>21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55" t="s">
        <v>231</v>
      </c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ht="15.6" x14ac:dyDescent="0.3">
      <c r="A8" s="15" t="s">
        <v>22</v>
      </c>
      <c r="D8" s="152"/>
      <c r="E8" s="152"/>
      <c r="F8" s="152"/>
      <c r="G8" s="152"/>
      <c r="H8" s="152"/>
      <c r="I8" s="152"/>
      <c r="J8" s="152"/>
      <c r="K8" s="152" t="s">
        <v>23</v>
      </c>
      <c r="L8" s="152"/>
      <c r="M8" s="152"/>
      <c r="N8" s="152"/>
      <c r="O8" s="152"/>
      <c r="P8" s="63"/>
      <c r="Q8" s="152"/>
      <c r="R8" s="152"/>
      <c r="S8" s="63" t="s">
        <v>24</v>
      </c>
      <c r="T8" s="152"/>
      <c r="U8" s="152"/>
      <c r="V8" s="152"/>
      <c r="W8" s="71" t="s">
        <v>25</v>
      </c>
      <c r="X8" s="152"/>
      <c r="Y8" s="152"/>
      <c r="Z8" s="152"/>
      <c r="AA8" s="152"/>
      <c r="AC8" s="71" t="s">
        <v>26</v>
      </c>
      <c r="AD8" s="152"/>
      <c r="AE8" s="73" t="s">
        <v>27</v>
      </c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</row>
    <row r="9" spans="1:59" ht="15.6" x14ac:dyDescent="0.3">
      <c r="A9" s="15" t="s">
        <v>28</v>
      </c>
      <c r="D9" s="152"/>
      <c r="E9" s="152"/>
      <c r="F9" s="152" t="s">
        <v>23</v>
      </c>
      <c r="G9" s="152"/>
      <c r="H9" s="152"/>
      <c r="I9" s="152"/>
      <c r="J9" s="152"/>
      <c r="K9" s="152" t="s">
        <v>26</v>
      </c>
      <c r="L9" s="152"/>
      <c r="M9" s="152"/>
      <c r="N9" s="152"/>
      <c r="O9" s="152"/>
      <c r="P9" s="63"/>
      <c r="Q9" s="152"/>
      <c r="R9" s="152"/>
      <c r="S9" s="63"/>
      <c r="T9" s="152"/>
      <c r="U9" s="152"/>
      <c r="V9" s="152"/>
      <c r="W9" s="63"/>
      <c r="X9" s="152"/>
      <c r="Y9" s="152"/>
      <c r="Z9" s="152"/>
      <c r="AA9" s="152"/>
      <c r="AB9" s="63"/>
      <c r="AC9" s="152"/>
      <c r="AD9" s="152"/>
      <c r="AE9" s="152"/>
      <c r="AF9" s="152"/>
      <c r="AG9" s="152"/>
      <c r="AH9" s="152"/>
      <c r="AI9" s="152"/>
      <c r="AJ9" s="152"/>
      <c r="AK9" s="152"/>
      <c r="AL9" s="73" t="s">
        <v>29</v>
      </c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73"/>
      <c r="AX9" s="152"/>
      <c r="AY9" s="152"/>
      <c r="AZ9" s="152"/>
      <c r="BA9" s="152"/>
      <c r="BB9" s="152"/>
      <c r="BC9" s="152"/>
      <c r="BD9" s="152"/>
      <c r="BE9" s="152"/>
      <c r="BF9" s="152"/>
      <c r="BG9" s="152"/>
    </row>
    <row r="10" spans="1:59" ht="15.6" x14ac:dyDescent="0.3">
      <c r="A10" s="15" t="s">
        <v>30</v>
      </c>
      <c r="D10" s="152"/>
      <c r="E10" s="152"/>
      <c r="G10" s="152"/>
      <c r="H10" s="152"/>
      <c r="I10" s="152"/>
      <c r="J10" s="152"/>
      <c r="K10" s="152"/>
      <c r="L10" s="152"/>
      <c r="M10" s="152"/>
      <c r="N10" s="152"/>
      <c r="O10" s="152"/>
      <c r="P10" s="63"/>
      <c r="Q10" s="152"/>
      <c r="S10" s="69"/>
      <c r="U10" s="152"/>
      <c r="W10" s="71" t="s">
        <v>31</v>
      </c>
      <c r="X10" s="152"/>
      <c r="Y10" s="152"/>
      <c r="Z10" s="152"/>
      <c r="AA10" s="152"/>
      <c r="AB10" s="63"/>
      <c r="AC10" s="152"/>
      <c r="AD10" s="152"/>
      <c r="AE10" s="152"/>
      <c r="AF10" s="152"/>
      <c r="AG10" s="152"/>
      <c r="AH10" s="73" t="s">
        <v>32</v>
      </c>
      <c r="AI10" s="152"/>
      <c r="AJ10" s="152"/>
      <c r="AK10" s="152"/>
      <c r="AL10" s="73" t="s">
        <v>33</v>
      </c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73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</row>
    <row r="11" spans="1:59" ht="16.2" thickBot="1" x14ac:dyDescent="0.35">
      <c r="A11" s="39" t="s">
        <v>34</v>
      </c>
      <c r="D11" s="152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64" t="s">
        <v>35</v>
      </c>
      <c r="Q11" s="151"/>
      <c r="R11" s="151"/>
      <c r="S11" s="70" t="s">
        <v>35</v>
      </c>
      <c r="T11" s="151"/>
      <c r="U11" s="151"/>
      <c r="W11" s="68" t="s">
        <v>36</v>
      </c>
      <c r="X11" s="151"/>
      <c r="Y11" s="151"/>
      <c r="Z11" s="151"/>
      <c r="AA11" s="151"/>
      <c r="AB11" s="64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</row>
    <row r="12" spans="1:59" ht="16.2" thickBot="1" x14ac:dyDescent="0.35">
      <c r="A12" s="16"/>
      <c r="B12" s="34"/>
      <c r="C12" s="34"/>
      <c r="D12" s="44"/>
      <c r="E12" s="3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ht="15.6" x14ac:dyDescent="0.3">
      <c r="A13" s="40" t="s">
        <v>37</v>
      </c>
      <c r="B13" s="41">
        <v>340.3</v>
      </c>
      <c r="C13" s="42">
        <v>319.59999999999997</v>
      </c>
      <c r="D13" s="43">
        <v>323.2</v>
      </c>
      <c r="E13" s="153">
        <v>282.10000000000002</v>
      </c>
      <c r="F13" s="153">
        <v>400.1</v>
      </c>
      <c r="G13" s="3">
        <v>458.8</v>
      </c>
      <c r="H13" s="153">
        <v>418.9</v>
      </c>
      <c r="I13" s="153">
        <v>456.4</v>
      </c>
      <c r="J13" s="153">
        <v>439.5</v>
      </c>
      <c r="K13" s="153">
        <v>487.9</v>
      </c>
      <c r="L13" s="153">
        <v>476.3</v>
      </c>
      <c r="M13" s="153">
        <v>350</v>
      </c>
      <c r="N13" s="153">
        <v>401</v>
      </c>
      <c r="O13" s="153">
        <v>413.7</v>
      </c>
      <c r="P13" s="153">
        <v>317.8</v>
      </c>
      <c r="Q13" s="153">
        <v>447.6</v>
      </c>
      <c r="R13" s="153">
        <v>392</v>
      </c>
      <c r="S13" s="153">
        <v>408.1</v>
      </c>
      <c r="T13" s="153">
        <v>416.7</v>
      </c>
      <c r="U13" s="153">
        <v>321.5</v>
      </c>
      <c r="V13" s="153">
        <v>459.2</v>
      </c>
      <c r="W13" s="153">
        <v>348.6</v>
      </c>
      <c r="X13" s="153">
        <v>383.3</v>
      </c>
      <c r="Y13" s="153">
        <v>357.1</v>
      </c>
      <c r="Z13" s="153">
        <v>383.1</v>
      </c>
      <c r="AA13" s="153">
        <v>340.3</v>
      </c>
      <c r="AB13" s="153">
        <v>437</v>
      </c>
      <c r="AC13" s="153">
        <v>427.2</v>
      </c>
      <c r="AD13" s="153">
        <v>449.5</v>
      </c>
      <c r="AE13" s="153">
        <v>320.8</v>
      </c>
      <c r="AF13" s="153">
        <v>378.9</v>
      </c>
      <c r="AG13" s="153">
        <v>353.6</v>
      </c>
      <c r="AH13" s="153">
        <v>373.8</v>
      </c>
      <c r="AI13" s="153">
        <v>351.1</v>
      </c>
      <c r="AJ13" s="153">
        <v>338.8</v>
      </c>
      <c r="AK13" s="153">
        <v>335.6</v>
      </c>
      <c r="AL13" s="153">
        <v>343.7</v>
      </c>
      <c r="AM13" s="153">
        <v>334.3</v>
      </c>
      <c r="AN13" s="153">
        <v>322.89999999999998</v>
      </c>
      <c r="AO13" s="153">
        <v>328.6</v>
      </c>
      <c r="AP13" s="153">
        <v>328.2</v>
      </c>
      <c r="AQ13" s="153">
        <v>324.3</v>
      </c>
      <c r="AR13" s="153">
        <v>337</v>
      </c>
      <c r="AS13" s="153">
        <v>312.2</v>
      </c>
      <c r="AT13" s="153">
        <v>317</v>
      </c>
      <c r="AU13" s="153">
        <v>334.8</v>
      </c>
      <c r="AV13" s="153">
        <v>349.3</v>
      </c>
      <c r="AW13" s="153">
        <v>371.8</v>
      </c>
      <c r="AX13" s="153">
        <v>300</v>
      </c>
      <c r="AY13" s="153">
        <v>347.9</v>
      </c>
      <c r="AZ13" s="153">
        <v>347.3</v>
      </c>
      <c r="BA13" s="153">
        <v>337.4</v>
      </c>
      <c r="BB13" s="153">
        <v>374.4</v>
      </c>
      <c r="BC13" s="153">
        <v>369.9</v>
      </c>
      <c r="BD13" s="153">
        <v>298.5</v>
      </c>
      <c r="BE13" s="153">
        <v>330.5</v>
      </c>
      <c r="BF13" s="153">
        <v>327.5</v>
      </c>
      <c r="BG13" s="153">
        <v>313</v>
      </c>
    </row>
    <row r="14" spans="1:59" ht="15.6" x14ac:dyDescent="0.3">
      <c r="A14" s="17" t="s">
        <v>38</v>
      </c>
      <c r="B14" s="26">
        <v>254.33333333333334</v>
      </c>
      <c r="C14" s="27">
        <v>271.5</v>
      </c>
      <c r="D14" s="153">
        <v>199.5</v>
      </c>
      <c r="E14" s="153">
        <v>226.7</v>
      </c>
      <c r="F14" s="153">
        <v>197.2</v>
      </c>
      <c r="G14" s="3">
        <v>262.3</v>
      </c>
      <c r="H14" s="153">
        <v>274.5</v>
      </c>
      <c r="I14" s="153">
        <v>171.4</v>
      </c>
      <c r="J14" s="153">
        <v>207.8</v>
      </c>
      <c r="K14" s="153">
        <v>274.89999999999998</v>
      </c>
      <c r="L14" s="153">
        <v>278.60000000000002</v>
      </c>
      <c r="M14" s="153">
        <v>319.89999999999998</v>
      </c>
      <c r="N14" s="153">
        <v>301.2</v>
      </c>
      <c r="O14" s="153">
        <v>300.8</v>
      </c>
      <c r="P14" s="153">
        <v>305.3</v>
      </c>
      <c r="Q14" s="153">
        <v>266.60000000000002</v>
      </c>
      <c r="R14" s="153">
        <v>294.7</v>
      </c>
      <c r="S14" s="153">
        <v>243.7</v>
      </c>
      <c r="T14" s="153">
        <v>238.9</v>
      </c>
      <c r="U14" s="153">
        <v>220.3</v>
      </c>
      <c r="V14" s="153">
        <v>208.1</v>
      </c>
      <c r="W14" s="153">
        <v>283.89999999999998</v>
      </c>
      <c r="X14" s="153">
        <v>271.89999999999998</v>
      </c>
      <c r="Y14" s="153">
        <v>241.5</v>
      </c>
      <c r="Z14" s="153">
        <v>270.89999999999998</v>
      </c>
      <c r="AA14" s="153">
        <v>359.4</v>
      </c>
      <c r="AB14" s="153">
        <v>151.19999999999999</v>
      </c>
      <c r="AC14" s="153">
        <v>144</v>
      </c>
      <c r="AD14" s="153">
        <v>140.6</v>
      </c>
      <c r="AE14" s="153">
        <v>256</v>
      </c>
      <c r="AF14" s="153">
        <v>245</v>
      </c>
      <c r="AG14" s="153">
        <v>271</v>
      </c>
      <c r="AH14" s="153">
        <v>270.60000000000002</v>
      </c>
      <c r="AI14" s="153">
        <v>278.8</v>
      </c>
      <c r="AJ14" s="153">
        <v>286</v>
      </c>
      <c r="AK14" s="153">
        <v>288.10000000000002</v>
      </c>
      <c r="AL14" s="153">
        <v>285.10000000000002</v>
      </c>
      <c r="AM14" s="153">
        <v>280.10000000000002</v>
      </c>
      <c r="AN14" s="153">
        <v>247.6</v>
      </c>
      <c r="AO14" s="153">
        <v>295.7</v>
      </c>
      <c r="AP14" s="153">
        <v>275.10000000000002</v>
      </c>
      <c r="AQ14" s="153">
        <v>261</v>
      </c>
      <c r="AR14" s="153">
        <v>270.3</v>
      </c>
      <c r="AS14" s="153">
        <v>306.8</v>
      </c>
      <c r="AT14" s="153">
        <v>272</v>
      </c>
      <c r="AU14" s="153">
        <v>265.60000000000002</v>
      </c>
      <c r="AV14" s="153">
        <v>257.10000000000002</v>
      </c>
      <c r="AW14" s="153">
        <v>205.4</v>
      </c>
      <c r="AX14" s="153">
        <v>281.39999999999998</v>
      </c>
      <c r="AY14" s="153">
        <v>291.39999999999998</v>
      </c>
      <c r="AZ14" s="153">
        <v>275.2</v>
      </c>
      <c r="BA14" s="153">
        <v>267.39999999999998</v>
      </c>
      <c r="BB14" s="153">
        <v>255.5</v>
      </c>
      <c r="BC14" s="153">
        <v>257.2</v>
      </c>
      <c r="BD14" s="153">
        <v>291.7</v>
      </c>
      <c r="BE14" s="153">
        <v>251.1</v>
      </c>
      <c r="BF14" s="153">
        <v>243.5</v>
      </c>
      <c r="BG14" s="153">
        <v>252.1</v>
      </c>
    </row>
    <row r="15" spans="1:59" ht="15.6" x14ac:dyDescent="0.3">
      <c r="A15" s="17" t="s">
        <v>39</v>
      </c>
      <c r="B15" s="26">
        <v>517.41666666666663</v>
      </c>
      <c r="C15" s="27">
        <v>485.45000000000005</v>
      </c>
      <c r="D15" s="153">
        <v>601</v>
      </c>
      <c r="E15" s="153">
        <v>644</v>
      </c>
      <c r="F15" s="153">
        <v>694</v>
      </c>
      <c r="G15" s="3">
        <v>549</v>
      </c>
      <c r="H15" s="153">
        <v>602</v>
      </c>
      <c r="I15" s="153">
        <v>643</v>
      </c>
      <c r="J15" s="153">
        <v>642</v>
      </c>
      <c r="K15" s="153">
        <v>672</v>
      </c>
      <c r="L15" s="153">
        <v>658</v>
      </c>
      <c r="M15" s="153">
        <v>546</v>
      </c>
      <c r="N15" s="153">
        <v>527</v>
      </c>
      <c r="O15" s="153">
        <v>637</v>
      </c>
      <c r="P15" s="153">
        <v>471</v>
      </c>
      <c r="Q15" s="153">
        <v>581</v>
      </c>
      <c r="R15" s="153">
        <v>608</v>
      </c>
      <c r="S15" s="153">
        <v>642</v>
      </c>
      <c r="T15" s="153">
        <v>600</v>
      </c>
      <c r="U15" s="153">
        <v>637</v>
      </c>
      <c r="V15" s="153">
        <v>653</v>
      </c>
      <c r="W15" s="153">
        <v>680</v>
      </c>
      <c r="X15" s="153">
        <v>655</v>
      </c>
      <c r="Y15" s="153">
        <v>578</v>
      </c>
      <c r="Z15" s="153">
        <v>661</v>
      </c>
      <c r="AA15" s="153">
        <v>570</v>
      </c>
      <c r="AB15" s="153">
        <v>465</v>
      </c>
      <c r="AC15" s="153">
        <v>519</v>
      </c>
      <c r="AD15" s="153">
        <v>535</v>
      </c>
      <c r="AE15" s="153">
        <v>543</v>
      </c>
      <c r="AF15" s="153">
        <v>460</v>
      </c>
      <c r="AG15" s="153">
        <v>481</v>
      </c>
      <c r="AH15" s="153">
        <v>521</v>
      </c>
      <c r="AI15" s="153">
        <v>538</v>
      </c>
      <c r="AJ15" s="153">
        <v>556</v>
      </c>
      <c r="AK15" s="153">
        <v>535</v>
      </c>
      <c r="AL15" s="153">
        <v>464</v>
      </c>
      <c r="AM15" s="153">
        <v>447</v>
      </c>
      <c r="AN15" s="153">
        <v>521</v>
      </c>
      <c r="AO15" s="153">
        <v>499</v>
      </c>
      <c r="AP15" s="153">
        <v>501</v>
      </c>
      <c r="AQ15" s="153">
        <v>521</v>
      </c>
      <c r="AR15" s="153">
        <v>471</v>
      </c>
      <c r="AS15" s="153">
        <v>481</v>
      </c>
      <c r="AT15" s="153">
        <v>496</v>
      </c>
      <c r="AU15" s="153">
        <v>492</v>
      </c>
      <c r="AV15" s="153">
        <v>517</v>
      </c>
      <c r="AW15" s="153">
        <v>494</v>
      </c>
      <c r="AX15" s="153">
        <v>497</v>
      </c>
      <c r="AY15" s="153">
        <v>491</v>
      </c>
      <c r="AZ15" s="153">
        <v>497</v>
      </c>
      <c r="BA15" s="153">
        <v>547</v>
      </c>
      <c r="BB15" s="153">
        <v>527</v>
      </c>
      <c r="BC15" s="153">
        <v>521</v>
      </c>
      <c r="BD15" s="153">
        <v>529</v>
      </c>
      <c r="BE15" s="153">
        <v>560</v>
      </c>
      <c r="BF15" s="153">
        <v>587</v>
      </c>
      <c r="BG15" s="153">
        <v>552</v>
      </c>
    </row>
    <row r="16" spans="1:59" ht="15.6" x14ac:dyDescent="0.3">
      <c r="A16" s="17" t="s">
        <v>40</v>
      </c>
      <c r="B16" s="26">
        <v>287.16666666666669</v>
      </c>
      <c r="C16" s="27">
        <v>287.66666666666669</v>
      </c>
      <c r="D16" s="153">
        <v>665</v>
      </c>
      <c r="E16" s="153">
        <v>673</v>
      </c>
      <c r="F16" s="153">
        <v>448</v>
      </c>
      <c r="G16" s="152">
        <v>489</v>
      </c>
      <c r="H16" s="153">
        <v>475</v>
      </c>
      <c r="I16" s="153">
        <v>560</v>
      </c>
      <c r="J16" s="153">
        <v>493</v>
      </c>
      <c r="K16" s="153">
        <v>233</v>
      </c>
      <c r="L16" s="153">
        <v>267</v>
      </c>
      <c r="M16" s="153">
        <v>588</v>
      </c>
      <c r="N16" s="153">
        <v>456</v>
      </c>
      <c r="O16" s="153">
        <v>287</v>
      </c>
      <c r="P16" s="153">
        <v>275</v>
      </c>
      <c r="Q16" s="153">
        <v>353</v>
      </c>
      <c r="R16" s="153">
        <v>321</v>
      </c>
      <c r="S16" s="153">
        <v>390</v>
      </c>
      <c r="T16" s="153">
        <v>398</v>
      </c>
      <c r="U16" s="153">
        <v>437</v>
      </c>
      <c r="V16" s="153">
        <v>367</v>
      </c>
      <c r="W16" s="153">
        <v>280</v>
      </c>
      <c r="X16" s="153">
        <v>285</v>
      </c>
      <c r="Y16" s="153">
        <v>297</v>
      </c>
      <c r="Z16" s="153">
        <v>247</v>
      </c>
      <c r="AA16" s="153">
        <v>310</v>
      </c>
      <c r="AB16" s="153">
        <v>231</v>
      </c>
      <c r="AC16" s="153">
        <v>259</v>
      </c>
      <c r="AD16" s="153">
        <v>247</v>
      </c>
      <c r="AE16" s="153">
        <v>245</v>
      </c>
      <c r="AF16" s="153">
        <v>231</v>
      </c>
      <c r="AG16" s="153">
        <v>226</v>
      </c>
      <c r="AH16" s="153">
        <v>271</v>
      </c>
      <c r="AI16" s="153">
        <v>279</v>
      </c>
      <c r="AJ16" s="153">
        <v>305</v>
      </c>
      <c r="AK16" s="153">
        <v>308</v>
      </c>
      <c r="AL16" s="153">
        <v>198</v>
      </c>
      <c r="AM16" s="153">
        <v>275</v>
      </c>
      <c r="AN16" s="153">
        <v>282</v>
      </c>
      <c r="AO16" s="153">
        <v>275</v>
      </c>
      <c r="AP16" s="153">
        <v>267</v>
      </c>
      <c r="AQ16" s="153">
        <v>265</v>
      </c>
      <c r="AR16" s="153">
        <v>268</v>
      </c>
      <c r="AS16" s="153">
        <v>290</v>
      </c>
      <c r="AT16" s="153">
        <v>285</v>
      </c>
      <c r="AU16" s="153">
        <v>251</v>
      </c>
      <c r="AV16" s="153">
        <v>267</v>
      </c>
      <c r="AW16" s="153">
        <v>291</v>
      </c>
      <c r="AX16" s="153">
        <v>298</v>
      </c>
      <c r="AY16" s="153">
        <v>270</v>
      </c>
      <c r="AZ16" s="153">
        <v>259</v>
      </c>
      <c r="BA16" s="153">
        <v>284</v>
      </c>
      <c r="BB16" s="153">
        <v>285</v>
      </c>
      <c r="BC16" s="153">
        <v>265</v>
      </c>
      <c r="BD16" s="153">
        <v>262</v>
      </c>
      <c r="BE16" s="153">
        <v>258</v>
      </c>
      <c r="BF16" s="153">
        <v>251</v>
      </c>
      <c r="BG16" s="153">
        <v>281</v>
      </c>
    </row>
    <row r="17" spans="1:59" ht="15.6" x14ac:dyDescent="0.3">
      <c r="A17" s="17" t="s">
        <v>41</v>
      </c>
      <c r="B17" s="26">
        <v>325.7</v>
      </c>
      <c r="C17" s="27">
        <v>345.86666666666673</v>
      </c>
      <c r="D17" s="4">
        <v>590</v>
      </c>
      <c r="E17" s="4">
        <v>569.5</v>
      </c>
      <c r="F17" s="4">
        <v>484.8</v>
      </c>
      <c r="G17" s="152">
        <v>518.6</v>
      </c>
      <c r="H17" s="4">
        <v>510.5</v>
      </c>
      <c r="I17" s="4">
        <v>466.2</v>
      </c>
      <c r="J17" s="4">
        <v>504.1</v>
      </c>
      <c r="K17" s="4">
        <v>593.9</v>
      </c>
      <c r="L17" s="4">
        <v>473</v>
      </c>
      <c r="M17" s="4">
        <v>352.2</v>
      </c>
      <c r="N17" s="4">
        <v>494.5</v>
      </c>
      <c r="O17" s="4">
        <v>516</v>
      </c>
      <c r="P17" s="4">
        <v>347.8</v>
      </c>
      <c r="Q17" s="4">
        <v>512.20000000000005</v>
      </c>
      <c r="R17" s="4">
        <v>533.4</v>
      </c>
      <c r="S17" s="4">
        <v>486.8</v>
      </c>
      <c r="T17" s="4">
        <v>500.1</v>
      </c>
      <c r="U17" s="4">
        <v>468.7</v>
      </c>
      <c r="V17" s="4">
        <v>500.3</v>
      </c>
      <c r="W17" s="4">
        <v>341.4</v>
      </c>
      <c r="X17" s="4">
        <v>335.1</v>
      </c>
      <c r="Y17" s="4">
        <v>323.60000000000002</v>
      </c>
      <c r="Z17" s="4">
        <v>362.8</v>
      </c>
      <c r="AA17" s="4">
        <v>405.9</v>
      </c>
      <c r="AB17" s="4">
        <v>405.1</v>
      </c>
      <c r="AC17" s="4">
        <v>355.6</v>
      </c>
      <c r="AD17" s="4">
        <v>321.39999999999998</v>
      </c>
      <c r="AE17" s="4">
        <v>321.10000000000002</v>
      </c>
      <c r="AF17" s="4">
        <v>346.5</v>
      </c>
      <c r="AG17" s="4">
        <v>337.6</v>
      </c>
      <c r="AH17" s="4">
        <v>349.8</v>
      </c>
      <c r="AI17" s="4">
        <v>352.4</v>
      </c>
      <c r="AJ17" s="4">
        <v>332.4</v>
      </c>
      <c r="AK17" s="4">
        <v>319.39999999999998</v>
      </c>
      <c r="AL17" s="4">
        <v>351.6</v>
      </c>
      <c r="AM17" s="4">
        <v>373.1</v>
      </c>
      <c r="AN17" s="4">
        <v>325</v>
      </c>
      <c r="AO17" s="4">
        <v>331.1</v>
      </c>
      <c r="AP17" s="4">
        <v>332.7</v>
      </c>
      <c r="AQ17" s="4">
        <v>346.8</v>
      </c>
      <c r="AR17" s="4">
        <v>355.4</v>
      </c>
      <c r="AS17" s="4">
        <v>324.89999999999998</v>
      </c>
      <c r="AT17" s="4">
        <v>344</v>
      </c>
      <c r="AU17" s="4">
        <v>387.5</v>
      </c>
      <c r="AV17" s="4">
        <v>333</v>
      </c>
      <c r="AW17" s="4">
        <v>389.1</v>
      </c>
      <c r="AX17" s="4">
        <v>373.7</v>
      </c>
      <c r="AY17" s="4">
        <v>334.8</v>
      </c>
      <c r="AZ17" s="4">
        <v>388.5</v>
      </c>
      <c r="BA17" s="4">
        <v>316.60000000000002</v>
      </c>
      <c r="BB17" s="4">
        <v>318.7</v>
      </c>
      <c r="BC17" s="4">
        <v>334.7</v>
      </c>
      <c r="BD17" s="4">
        <v>369</v>
      </c>
      <c r="BE17" s="4">
        <v>339.5</v>
      </c>
      <c r="BF17" s="4">
        <v>343.6</v>
      </c>
      <c r="BG17" s="4">
        <v>345.5</v>
      </c>
    </row>
    <row r="18" spans="1:59" ht="16.2" thickBot="1" x14ac:dyDescent="0.35">
      <c r="A18" s="46" t="s">
        <v>42</v>
      </c>
      <c r="B18" s="47">
        <v>1724.916666666667</v>
      </c>
      <c r="C18" s="48">
        <v>1710.0833333333333</v>
      </c>
      <c r="D18" s="5">
        <f t="shared" ref="D18:Q18" si="0">SUM(D13:D17)</f>
        <v>2378.6999999999998</v>
      </c>
      <c r="E18" s="5">
        <f t="shared" si="0"/>
        <v>2395.3000000000002</v>
      </c>
      <c r="F18" s="5">
        <f t="shared" si="0"/>
        <v>2224.1</v>
      </c>
      <c r="G18" s="5">
        <f t="shared" si="0"/>
        <v>2277.6999999999998</v>
      </c>
      <c r="H18" s="5">
        <f t="shared" si="0"/>
        <v>2280.9</v>
      </c>
      <c r="I18" s="5">
        <f t="shared" si="0"/>
        <v>2297</v>
      </c>
      <c r="J18" s="5">
        <f t="shared" si="0"/>
        <v>2286.4</v>
      </c>
      <c r="K18" s="5">
        <f t="shared" si="0"/>
        <v>2261.6999999999998</v>
      </c>
      <c r="L18" s="5">
        <f t="shared" si="0"/>
        <v>2152.9</v>
      </c>
      <c r="M18" s="5">
        <f t="shared" si="0"/>
        <v>2156.1</v>
      </c>
      <c r="N18" s="5">
        <f>SUM(N13:N17)</f>
        <v>2179.6999999999998</v>
      </c>
      <c r="O18" s="5">
        <f t="shared" si="0"/>
        <v>2154.5</v>
      </c>
      <c r="P18" s="5">
        <f t="shared" si="0"/>
        <v>1716.8999999999999</v>
      </c>
      <c r="Q18" s="5">
        <f t="shared" si="0"/>
        <v>2160.4</v>
      </c>
      <c r="R18" s="5">
        <f t="shared" ref="R18:T18" si="1">SUM(R13:R17)</f>
        <v>2149.1</v>
      </c>
      <c r="S18" s="5">
        <f t="shared" si="1"/>
        <v>2170.6</v>
      </c>
      <c r="T18" s="5">
        <f t="shared" si="1"/>
        <v>2153.6999999999998</v>
      </c>
      <c r="U18" s="5">
        <f>SUM(U13:U17)</f>
        <v>2084.5</v>
      </c>
      <c r="V18" s="5">
        <f t="shared" ref="V18:X18" si="2">SUM(V13:V17)</f>
        <v>2187.6</v>
      </c>
      <c r="W18" s="5">
        <f t="shared" si="2"/>
        <v>1933.9</v>
      </c>
      <c r="X18" s="5">
        <f t="shared" si="2"/>
        <v>1930.3000000000002</v>
      </c>
      <c r="Y18" s="5">
        <f t="shared" ref="Y18:AC18" si="3">SUM(Y13:Y17)</f>
        <v>1797.1999999999998</v>
      </c>
      <c r="Z18" s="5">
        <f t="shared" si="3"/>
        <v>1924.8</v>
      </c>
      <c r="AA18" s="5">
        <f>SUM(AA13:AA17)</f>
        <v>1985.6</v>
      </c>
      <c r="AB18" s="5">
        <f>SUM(AB13:AB17)</f>
        <v>1689.3000000000002</v>
      </c>
      <c r="AC18" s="5">
        <f t="shared" si="3"/>
        <v>1704.8000000000002</v>
      </c>
      <c r="AD18" s="5">
        <f t="shared" ref="AD18:AE18" si="4">SUM(AD13:AD17)</f>
        <v>1693.5</v>
      </c>
      <c r="AE18" s="5">
        <f t="shared" si="4"/>
        <v>1685.9</v>
      </c>
      <c r="AF18" s="5">
        <f t="shared" ref="AF18:AG18" si="5">SUM(AF13:AF17)</f>
        <v>1661.4</v>
      </c>
      <c r="AG18" s="5">
        <f t="shared" si="5"/>
        <v>1669.1999999999998</v>
      </c>
      <c r="AH18" s="5">
        <f t="shared" ref="AH18:AI18" si="6">SUM(AH13:AH17)</f>
        <v>1786.2</v>
      </c>
      <c r="AI18" s="5">
        <f t="shared" si="6"/>
        <v>1799.3000000000002</v>
      </c>
      <c r="AJ18" s="5">
        <f t="shared" ref="AJ18:AK18" si="7">SUM(AJ13:AJ17)</f>
        <v>1818.1999999999998</v>
      </c>
      <c r="AK18" s="5">
        <f t="shared" si="7"/>
        <v>1786.1</v>
      </c>
      <c r="AL18" s="5">
        <f t="shared" ref="AL18:AO18" si="8">SUM(AL13:AL17)</f>
        <v>1642.4</v>
      </c>
      <c r="AM18" s="5">
        <f t="shared" si="8"/>
        <v>1709.5</v>
      </c>
      <c r="AN18" s="5">
        <f t="shared" si="8"/>
        <v>1698.5</v>
      </c>
      <c r="AO18" s="5">
        <f t="shared" si="8"/>
        <v>1729.4</v>
      </c>
      <c r="AP18" s="5">
        <f t="shared" ref="AP18:AS18" si="9">SUM(AP13:AP17)</f>
        <v>1704</v>
      </c>
      <c r="AQ18" s="5">
        <f>SUM(AQ13:AQ17)</f>
        <v>1718.1</v>
      </c>
      <c r="AR18" s="5">
        <f t="shared" si="9"/>
        <v>1701.6999999999998</v>
      </c>
      <c r="AS18" s="5">
        <f t="shared" si="9"/>
        <v>1714.9</v>
      </c>
      <c r="AT18" s="5">
        <f t="shared" ref="AT18:AU18" si="10">SUM(AT13:AT17)</f>
        <v>1714</v>
      </c>
      <c r="AU18" s="5">
        <f t="shared" si="10"/>
        <v>1730.9</v>
      </c>
      <c r="AV18" s="5">
        <f t="shared" ref="AV18:BA18" si="11">SUM(AV13:AV17)</f>
        <v>1723.4</v>
      </c>
      <c r="AW18" s="5">
        <f t="shared" si="11"/>
        <v>1751.3000000000002</v>
      </c>
      <c r="AX18" s="5">
        <f t="shared" si="11"/>
        <v>1750.1000000000001</v>
      </c>
      <c r="AY18" s="5">
        <f t="shared" si="11"/>
        <v>1735.1</v>
      </c>
      <c r="AZ18" s="5">
        <f t="shared" si="11"/>
        <v>1767</v>
      </c>
      <c r="BA18" s="5">
        <f t="shared" si="11"/>
        <v>1752.4</v>
      </c>
      <c r="BB18" s="5">
        <f>SUM(BB13:BB17)</f>
        <v>1760.6000000000001</v>
      </c>
      <c r="BC18" s="5">
        <f t="shared" ref="BC18:BG18" si="12">SUM(BC13:BC17)</f>
        <v>1747.8</v>
      </c>
      <c r="BD18" s="5">
        <f t="shared" si="12"/>
        <v>1750.2</v>
      </c>
      <c r="BE18" s="5">
        <f t="shared" si="12"/>
        <v>1739.1</v>
      </c>
      <c r="BF18" s="5">
        <f t="shared" si="12"/>
        <v>1752.6</v>
      </c>
      <c r="BG18" s="5">
        <f t="shared" si="12"/>
        <v>1743.6</v>
      </c>
    </row>
    <row r="19" spans="1:59" ht="16.2" thickBot="1" x14ac:dyDescent="0.35">
      <c r="A19" s="18"/>
      <c r="B19" s="34"/>
      <c r="C19" s="37"/>
      <c r="D19" s="4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spans="1:59" ht="15.6" x14ac:dyDescent="0.3">
      <c r="A20" s="40" t="s">
        <v>43</v>
      </c>
      <c r="B20" s="41">
        <v>1865.8</v>
      </c>
      <c r="C20" s="42">
        <v>1890.6166666666668</v>
      </c>
      <c r="D20" s="153">
        <v>1914.6</v>
      </c>
      <c r="E20" s="153">
        <v>1877.7</v>
      </c>
      <c r="F20" s="153">
        <v>1944.8</v>
      </c>
      <c r="G20" s="3">
        <v>1837.3</v>
      </c>
      <c r="H20" s="153">
        <v>1858.1</v>
      </c>
      <c r="I20" s="153">
        <v>1860.2</v>
      </c>
      <c r="J20" s="153">
        <v>1841.6</v>
      </c>
      <c r="K20" s="153">
        <v>1846.8</v>
      </c>
      <c r="L20" s="153">
        <v>1829</v>
      </c>
      <c r="M20" s="153">
        <v>1936.2</v>
      </c>
      <c r="N20" s="153">
        <v>1860.5</v>
      </c>
      <c r="O20" s="153">
        <v>1853.7</v>
      </c>
      <c r="P20" s="153">
        <v>1796.7</v>
      </c>
      <c r="Q20" s="153">
        <v>1805.5</v>
      </c>
      <c r="R20" s="153">
        <v>1941.1</v>
      </c>
      <c r="S20" s="153">
        <v>1815.6</v>
      </c>
      <c r="T20" s="153">
        <v>1832.2</v>
      </c>
      <c r="U20" s="153">
        <v>1916.4</v>
      </c>
      <c r="V20" s="153">
        <v>1771</v>
      </c>
      <c r="W20" s="153">
        <v>1896.2</v>
      </c>
      <c r="X20" s="153">
        <v>1837.3</v>
      </c>
      <c r="Y20" s="153">
        <v>1853.1</v>
      </c>
      <c r="Z20" s="153">
        <v>1832.9</v>
      </c>
      <c r="AA20" s="153">
        <v>1887.7</v>
      </c>
      <c r="AB20" s="153">
        <v>1783.8</v>
      </c>
      <c r="AC20" s="153">
        <v>1802.4</v>
      </c>
      <c r="AD20" s="153">
        <v>1725.4</v>
      </c>
      <c r="AE20" s="153">
        <v>1925.3</v>
      </c>
      <c r="AF20" s="153">
        <v>1855.6</v>
      </c>
      <c r="AG20" s="153">
        <v>1849.8</v>
      </c>
      <c r="AH20" s="153">
        <v>1821.1</v>
      </c>
      <c r="AI20" s="153">
        <v>1842.3</v>
      </c>
      <c r="AJ20" s="153">
        <v>1863.5</v>
      </c>
      <c r="AK20" s="153">
        <v>1827.6</v>
      </c>
      <c r="AL20" s="153">
        <v>1882.8</v>
      </c>
      <c r="AM20" s="153">
        <v>1889.1</v>
      </c>
      <c r="AN20" s="153">
        <v>1911.4</v>
      </c>
      <c r="AO20" s="153">
        <v>1852</v>
      </c>
      <c r="AP20" s="153">
        <v>1938.1</v>
      </c>
      <c r="AQ20" s="153">
        <v>1902.2</v>
      </c>
      <c r="AR20" s="153">
        <v>1903.4</v>
      </c>
      <c r="AS20" s="153">
        <v>1884.5</v>
      </c>
      <c r="AT20" s="153">
        <v>1883.3</v>
      </c>
      <c r="AU20" s="153">
        <v>1927.2</v>
      </c>
      <c r="AV20" s="153">
        <v>1890.3</v>
      </c>
      <c r="AW20" s="153">
        <v>1919.6</v>
      </c>
      <c r="AX20" s="153">
        <v>1901.6</v>
      </c>
      <c r="AY20" s="153">
        <v>1854.8</v>
      </c>
      <c r="AZ20" s="153">
        <v>1846.9</v>
      </c>
      <c r="BA20" s="153">
        <v>1833.3</v>
      </c>
      <c r="BB20" s="153">
        <v>1795.1</v>
      </c>
      <c r="BC20" s="153">
        <v>1830.5</v>
      </c>
      <c r="BD20" s="153">
        <v>1954.2</v>
      </c>
      <c r="BE20" s="153">
        <v>1888.1</v>
      </c>
      <c r="BF20" s="153">
        <v>1898.6</v>
      </c>
      <c r="BG20" s="153">
        <v>1967.4</v>
      </c>
    </row>
    <row r="21" spans="1:59" ht="15.6" x14ac:dyDescent="0.3">
      <c r="A21" s="17" t="s">
        <v>44</v>
      </c>
      <c r="B21" s="26">
        <v>1586.1666666666667</v>
      </c>
      <c r="C21" s="27">
        <v>1552.1666666666667</v>
      </c>
      <c r="D21" s="153">
        <v>1511</v>
      </c>
      <c r="E21" s="153">
        <v>1554.5</v>
      </c>
      <c r="F21" s="153">
        <v>1463.6</v>
      </c>
      <c r="G21" s="3">
        <v>1318.8</v>
      </c>
      <c r="H21" s="153">
        <v>1449.7</v>
      </c>
      <c r="I21" s="153">
        <v>1265.2</v>
      </c>
      <c r="J21" s="153">
        <v>1367.1</v>
      </c>
      <c r="K21" s="153">
        <v>1270.5</v>
      </c>
      <c r="L21" s="153">
        <v>1390.1</v>
      </c>
      <c r="M21" s="153">
        <v>1392.4</v>
      </c>
      <c r="N21" s="153">
        <v>1442.4</v>
      </c>
      <c r="O21" s="153">
        <v>1447.7</v>
      </c>
      <c r="P21" s="153">
        <v>1605.2</v>
      </c>
      <c r="Q21" s="153">
        <v>1527.2</v>
      </c>
      <c r="R21" s="153">
        <v>1376.5</v>
      </c>
      <c r="S21" s="153">
        <v>1586.6</v>
      </c>
      <c r="T21" s="153">
        <v>1540.3</v>
      </c>
      <c r="U21" s="153">
        <v>1525.3</v>
      </c>
      <c r="V21" s="153">
        <v>1526</v>
      </c>
      <c r="W21" s="153">
        <v>1468.9</v>
      </c>
      <c r="X21" s="153">
        <v>1391.1</v>
      </c>
      <c r="Y21" s="153">
        <v>1599.5</v>
      </c>
      <c r="Z21" s="153">
        <v>1603.1</v>
      </c>
      <c r="AA21" s="153">
        <v>1452.5</v>
      </c>
      <c r="AB21" s="153">
        <v>1743</v>
      </c>
      <c r="AC21" s="153">
        <v>1587.2</v>
      </c>
      <c r="AD21" s="153">
        <v>1667.5</v>
      </c>
      <c r="AE21" s="153">
        <v>1468</v>
      </c>
      <c r="AF21" s="153">
        <v>1534.4</v>
      </c>
      <c r="AG21" s="153">
        <v>1516.9</v>
      </c>
      <c r="AH21" s="153">
        <v>1594.5</v>
      </c>
      <c r="AI21" s="153">
        <v>1551.4</v>
      </c>
      <c r="AJ21" s="153">
        <v>1515.2</v>
      </c>
      <c r="AK21" s="153">
        <v>1590.3</v>
      </c>
      <c r="AL21" s="153">
        <v>1587.2</v>
      </c>
      <c r="AM21" s="153">
        <v>1553.9</v>
      </c>
      <c r="AN21" s="153">
        <v>1615.4</v>
      </c>
      <c r="AO21" s="153">
        <v>1564.8</v>
      </c>
      <c r="AP21" s="153">
        <v>1529.4</v>
      </c>
      <c r="AQ21" s="153">
        <v>1568.5</v>
      </c>
      <c r="AR21" s="153">
        <v>1555.5</v>
      </c>
      <c r="AS21" s="153">
        <v>1581.5</v>
      </c>
      <c r="AT21" s="153">
        <v>1566.3</v>
      </c>
      <c r="AU21" s="153">
        <v>1509.1</v>
      </c>
      <c r="AV21" s="153">
        <v>1527.3</v>
      </c>
      <c r="AW21" s="153">
        <v>1594.1</v>
      </c>
      <c r="AX21" s="153">
        <v>1567</v>
      </c>
      <c r="AY21" s="153">
        <v>1559.3</v>
      </c>
      <c r="AZ21" s="153">
        <v>1570.7</v>
      </c>
      <c r="BA21" s="153">
        <v>1595.2</v>
      </c>
      <c r="BB21" s="153">
        <v>1634.3</v>
      </c>
      <c r="BC21" s="153">
        <v>1558.6</v>
      </c>
      <c r="BD21" s="153">
        <v>1565.9</v>
      </c>
      <c r="BE21" s="153">
        <v>1556.4</v>
      </c>
      <c r="BF21" s="153">
        <v>1591</v>
      </c>
      <c r="BG21" s="153">
        <v>1531.5</v>
      </c>
    </row>
    <row r="22" spans="1:59" ht="15.6" x14ac:dyDescent="0.3">
      <c r="A22" s="17" t="s">
        <v>45</v>
      </c>
      <c r="B22" s="26">
        <v>2729.0166666666664</v>
      </c>
      <c r="C22" s="27">
        <v>2753.7666666666664</v>
      </c>
      <c r="D22" s="153">
        <v>2474.1</v>
      </c>
      <c r="E22" s="153">
        <v>2444.3000000000002</v>
      </c>
      <c r="F22" s="153">
        <v>2500.1</v>
      </c>
      <c r="G22" s="3">
        <v>2847.4</v>
      </c>
      <c r="H22" s="153">
        <v>2711.3</v>
      </c>
      <c r="I22" s="153">
        <v>2914.5</v>
      </c>
      <c r="J22" s="153">
        <v>2753.5</v>
      </c>
      <c r="K22" s="153">
        <v>2726.3</v>
      </c>
      <c r="L22" s="153">
        <v>2702.1</v>
      </c>
      <c r="M22" s="153">
        <v>2724.5</v>
      </c>
      <c r="N22" s="153">
        <v>2798.7</v>
      </c>
      <c r="O22" s="153">
        <v>2650.5</v>
      </c>
      <c r="P22" s="153">
        <v>2834</v>
      </c>
      <c r="Q22" s="153">
        <v>2657.1</v>
      </c>
      <c r="R22" s="153">
        <v>2680.2</v>
      </c>
      <c r="S22" s="153">
        <v>2610.5</v>
      </c>
      <c r="T22" s="153">
        <v>2659.9</v>
      </c>
      <c r="U22" s="153">
        <v>2669.2</v>
      </c>
      <c r="V22" s="153">
        <v>2684.7</v>
      </c>
      <c r="W22" s="153">
        <v>2652.9</v>
      </c>
      <c r="X22" s="153">
        <v>2841.2</v>
      </c>
      <c r="Y22" s="153">
        <v>2626.6</v>
      </c>
      <c r="Z22" s="153">
        <v>2506.1</v>
      </c>
      <c r="AA22" s="153">
        <v>2688.3</v>
      </c>
      <c r="AB22" s="153">
        <v>2794.9</v>
      </c>
      <c r="AC22" s="153">
        <v>2738.4</v>
      </c>
      <c r="AD22" s="153">
        <v>2701.4</v>
      </c>
      <c r="AE22" s="153">
        <v>2743.1</v>
      </c>
      <c r="AF22" s="153">
        <v>2762.4</v>
      </c>
      <c r="AG22" s="153">
        <v>2792.9</v>
      </c>
      <c r="AH22" s="153">
        <v>2626.5</v>
      </c>
      <c r="AI22" s="153">
        <v>2697.5</v>
      </c>
      <c r="AJ22" s="153">
        <v>2685.6</v>
      </c>
      <c r="AK22" s="153">
        <v>2661.8</v>
      </c>
      <c r="AL22" s="153">
        <v>2722.6</v>
      </c>
      <c r="AM22" s="153">
        <v>2750.7</v>
      </c>
      <c r="AN22" s="153">
        <v>2663.7</v>
      </c>
      <c r="AO22" s="153">
        <v>2735.5</v>
      </c>
      <c r="AP22" s="153">
        <v>2661</v>
      </c>
      <c r="AQ22" s="153">
        <v>2692.3</v>
      </c>
      <c r="AR22" s="153">
        <v>2729.5</v>
      </c>
      <c r="AS22" s="153">
        <v>2697</v>
      </c>
      <c r="AT22" s="153">
        <v>2759</v>
      </c>
      <c r="AU22" s="153">
        <v>2730.1</v>
      </c>
      <c r="AV22" s="153">
        <v>2730.9</v>
      </c>
      <c r="AW22" s="153">
        <v>2679.3</v>
      </c>
      <c r="AX22" s="153">
        <v>2776.1</v>
      </c>
      <c r="AY22" s="153">
        <v>2771.2</v>
      </c>
      <c r="AZ22" s="153">
        <v>2783.1</v>
      </c>
      <c r="BA22" s="153">
        <v>2742.2</v>
      </c>
      <c r="BB22" s="153">
        <v>2702.8</v>
      </c>
      <c r="BC22" s="153">
        <v>2766</v>
      </c>
      <c r="BD22" s="153">
        <v>2603.1999999999998</v>
      </c>
      <c r="BE22" s="153">
        <v>2705.6</v>
      </c>
      <c r="BF22" s="153">
        <v>2629.7</v>
      </c>
      <c r="BG22" s="153">
        <v>2621.7</v>
      </c>
    </row>
    <row r="23" spans="1:59" ht="15.6" x14ac:dyDescent="0.3">
      <c r="A23" s="17" t="s">
        <v>46</v>
      </c>
      <c r="B23" s="26">
        <v>1579.8833333333332</v>
      </c>
      <c r="C23" s="27">
        <v>1609.3500000000001</v>
      </c>
      <c r="D23" s="153">
        <v>1147.9000000000001</v>
      </c>
      <c r="E23" s="153">
        <v>1223.2</v>
      </c>
      <c r="F23" s="153">
        <v>1378.1</v>
      </c>
      <c r="G23" s="152">
        <v>1369.8</v>
      </c>
      <c r="H23" s="153">
        <v>1180.4000000000001</v>
      </c>
      <c r="I23" s="153">
        <v>1303.8</v>
      </c>
      <c r="J23" s="153">
        <v>1419.5</v>
      </c>
      <c r="K23" s="153">
        <v>1590.1</v>
      </c>
      <c r="L23" s="153">
        <v>1521.1</v>
      </c>
      <c r="M23" s="153">
        <v>1305.2</v>
      </c>
      <c r="N23" s="153">
        <v>1360.2</v>
      </c>
      <c r="O23" s="153">
        <v>1562.5</v>
      </c>
      <c r="P23" s="153">
        <v>1649.8</v>
      </c>
      <c r="Q23" s="153">
        <v>1518.7</v>
      </c>
      <c r="R23" s="153">
        <v>1496.4</v>
      </c>
      <c r="S23" s="153">
        <v>1408.2</v>
      </c>
      <c r="T23" s="153">
        <v>1427.8</v>
      </c>
      <c r="U23" s="153">
        <v>1396.2</v>
      </c>
      <c r="V23" s="153">
        <v>1514.2</v>
      </c>
      <c r="W23" s="153">
        <v>1485.8</v>
      </c>
      <c r="X23" s="153">
        <v>1475.2</v>
      </c>
      <c r="Y23" s="153">
        <v>1597.6</v>
      </c>
      <c r="Z23" s="153">
        <v>1608.8</v>
      </c>
      <c r="AA23" s="153">
        <v>1495.7</v>
      </c>
      <c r="AB23" s="153">
        <v>1652.9</v>
      </c>
      <c r="AC23" s="153">
        <v>1636.2</v>
      </c>
      <c r="AD23" s="153">
        <v>1678.7</v>
      </c>
      <c r="AE23" s="153">
        <v>1576.1</v>
      </c>
      <c r="AF23" s="153">
        <v>1593.2</v>
      </c>
      <c r="AG23" s="153">
        <v>1596.9</v>
      </c>
      <c r="AH23" s="153">
        <v>1602.5</v>
      </c>
      <c r="AI23" s="153">
        <v>1528.5</v>
      </c>
      <c r="AJ23" s="153">
        <v>1551.2</v>
      </c>
      <c r="AK23" s="153">
        <v>1556.3</v>
      </c>
      <c r="AL23" s="153">
        <v>1595.5</v>
      </c>
      <c r="AM23" s="153">
        <v>1603.3</v>
      </c>
      <c r="AN23" s="153">
        <v>1495</v>
      </c>
      <c r="AO23" s="153">
        <v>1624.2</v>
      </c>
      <c r="AP23" s="153">
        <v>1603.3</v>
      </c>
      <c r="AQ23" s="153">
        <v>1581.5</v>
      </c>
      <c r="AR23" s="153">
        <v>1566</v>
      </c>
      <c r="AS23" s="153">
        <v>1573</v>
      </c>
      <c r="AT23" s="153">
        <v>1558</v>
      </c>
      <c r="AU23" s="153">
        <v>1608.9</v>
      </c>
      <c r="AV23" s="153">
        <v>1607.5</v>
      </c>
      <c r="AW23" s="153">
        <v>1565.4</v>
      </c>
      <c r="AX23" s="153">
        <v>1504.9</v>
      </c>
      <c r="AY23" s="153">
        <v>1549.3</v>
      </c>
      <c r="AZ23" s="153">
        <v>1556.8</v>
      </c>
      <c r="BA23" s="153">
        <v>1559.4</v>
      </c>
      <c r="BB23" s="153">
        <v>1608.4</v>
      </c>
      <c r="BC23" s="153">
        <v>1612.5</v>
      </c>
      <c r="BD23" s="153">
        <v>1590.8</v>
      </c>
      <c r="BE23" s="153">
        <v>1610.6</v>
      </c>
      <c r="BF23" s="153">
        <v>1603.3</v>
      </c>
      <c r="BG23" s="153">
        <v>1595.8</v>
      </c>
    </row>
    <row r="24" spans="1:59" ht="15.6" x14ac:dyDescent="0.3">
      <c r="A24" s="17" t="s">
        <v>47</v>
      </c>
      <c r="B24" s="26">
        <v>1843.1333333333332</v>
      </c>
      <c r="C24" s="27">
        <v>1817.8333333333333</v>
      </c>
      <c r="D24" s="153">
        <v>1656.5</v>
      </c>
      <c r="E24" s="153">
        <v>1592.4</v>
      </c>
      <c r="F24" s="153">
        <v>1769.5</v>
      </c>
      <c r="G24" s="152">
        <v>1633.2</v>
      </c>
      <c r="H24" s="153">
        <v>1795.1</v>
      </c>
      <c r="I24" s="153">
        <v>1636.4</v>
      </c>
      <c r="J24" s="153">
        <v>1606.8</v>
      </c>
      <c r="K24" s="153">
        <v>1597.1</v>
      </c>
      <c r="L24" s="153">
        <v>1694.3</v>
      </c>
      <c r="M24" s="153">
        <v>1769</v>
      </c>
      <c r="N24" s="153">
        <v>1655.5</v>
      </c>
      <c r="O24" s="153">
        <v>1622.7</v>
      </c>
      <c r="P24" s="153">
        <v>1650</v>
      </c>
      <c r="Q24" s="153">
        <v>1624.6</v>
      </c>
      <c r="R24" s="153">
        <v>1650.1</v>
      </c>
      <c r="S24" s="153">
        <v>1707</v>
      </c>
      <c r="T24" s="153">
        <v>1678.2</v>
      </c>
      <c r="U24" s="153">
        <v>1684.9</v>
      </c>
      <c r="V24" s="153">
        <v>1610.1</v>
      </c>
      <c r="W24" s="153">
        <v>1857.4</v>
      </c>
      <c r="X24" s="153">
        <v>1807</v>
      </c>
      <c r="Y24" s="153">
        <v>1819.1</v>
      </c>
      <c r="Z24" s="153">
        <v>1818.3</v>
      </c>
      <c r="AA24" s="153">
        <v>1786.7</v>
      </c>
      <c r="AB24" s="153">
        <v>1776.9</v>
      </c>
      <c r="AC24" s="153">
        <v>1825.5</v>
      </c>
      <c r="AD24" s="153">
        <v>1827.7</v>
      </c>
      <c r="AE24" s="153">
        <v>1899.9</v>
      </c>
      <c r="AF24" s="153">
        <v>1890.1</v>
      </c>
      <c r="AG24" s="153">
        <v>1872.3</v>
      </c>
      <c r="AH24" s="153">
        <v>1861.4</v>
      </c>
      <c r="AI24" s="153">
        <v>1871.2</v>
      </c>
      <c r="AJ24" s="153">
        <v>1859.6</v>
      </c>
      <c r="AK24" s="153">
        <v>1870.1</v>
      </c>
      <c r="AL24" s="153">
        <v>1896.7</v>
      </c>
      <c r="AM24" s="153">
        <v>1813.2</v>
      </c>
      <c r="AN24" s="153">
        <v>1936.6</v>
      </c>
      <c r="AO24" s="153">
        <v>1816</v>
      </c>
      <c r="AP24" s="153">
        <v>1885.9</v>
      </c>
      <c r="AQ24" s="153">
        <v>1855</v>
      </c>
      <c r="AR24" s="153">
        <v>1863</v>
      </c>
      <c r="AS24" s="153">
        <v>1868</v>
      </c>
      <c r="AT24" s="153">
        <v>1841</v>
      </c>
      <c r="AU24" s="153">
        <v>1816.7</v>
      </c>
      <c r="AV24" s="153">
        <v>1843.6</v>
      </c>
      <c r="AW24" s="153">
        <v>1842.3</v>
      </c>
      <c r="AX24" s="153">
        <v>1836.7</v>
      </c>
      <c r="AY24" s="153">
        <v>1867.3</v>
      </c>
      <c r="AZ24" s="153">
        <v>1810.1</v>
      </c>
      <c r="BA24" s="153">
        <v>1849.7</v>
      </c>
      <c r="BB24" s="153">
        <v>1835.1</v>
      </c>
      <c r="BC24" s="153">
        <v>1820.5</v>
      </c>
      <c r="BD24" s="153">
        <v>1873.4</v>
      </c>
      <c r="BE24" s="153">
        <v>1837.4</v>
      </c>
      <c r="BF24" s="153">
        <v>1859.7</v>
      </c>
      <c r="BG24" s="153">
        <v>1876.6</v>
      </c>
    </row>
    <row r="25" spans="1:59" ht="16.2" thickBot="1" x14ac:dyDescent="0.35">
      <c r="A25" s="17" t="s">
        <v>48</v>
      </c>
      <c r="B25" s="47">
        <v>9604</v>
      </c>
      <c r="C25" s="48">
        <v>9623.7333333333354</v>
      </c>
      <c r="D25" s="5">
        <f t="shared" ref="D25:Q25" si="13">SUM(D20:D24)</f>
        <v>8704.1</v>
      </c>
      <c r="E25" s="5">
        <f t="shared" si="13"/>
        <v>8692.1</v>
      </c>
      <c r="F25" s="5">
        <f t="shared" si="13"/>
        <v>9056.1</v>
      </c>
      <c r="G25" s="5">
        <f t="shared" si="13"/>
        <v>9006.5</v>
      </c>
      <c r="H25" s="5">
        <f t="shared" si="13"/>
        <v>8994.6</v>
      </c>
      <c r="I25" s="5">
        <f t="shared" si="13"/>
        <v>8980.1</v>
      </c>
      <c r="J25" s="5">
        <f t="shared" si="13"/>
        <v>8988.5</v>
      </c>
      <c r="K25" s="5">
        <f t="shared" si="13"/>
        <v>9030.8000000000011</v>
      </c>
      <c r="L25" s="5">
        <f t="shared" si="13"/>
        <v>9136.5999999999985</v>
      </c>
      <c r="M25" s="5">
        <f t="shared" si="13"/>
        <v>9127.2999999999993</v>
      </c>
      <c r="N25" s="5">
        <f t="shared" si="13"/>
        <v>9117.2999999999993</v>
      </c>
      <c r="O25" s="5">
        <f t="shared" si="13"/>
        <v>9137.1</v>
      </c>
      <c r="P25" s="5">
        <f t="shared" si="13"/>
        <v>9535.7000000000007</v>
      </c>
      <c r="Q25" s="5">
        <f t="shared" si="13"/>
        <v>9133.0999999999985</v>
      </c>
      <c r="R25" s="5">
        <f t="shared" ref="R25:X25" si="14">SUM(R20:R24)</f>
        <v>9144.2999999999993</v>
      </c>
      <c r="S25" s="5">
        <f t="shared" si="14"/>
        <v>9127.9</v>
      </c>
      <c r="T25" s="5">
        <f t="shared" si="14"/>
        <v>9138.4</v>
      </c>
      <c r="U25" s="5">
        <f t="shared" si="14"/>
        <v>9192</v>
      </c>
      <c r="V25" s="5">
        <f t="shared" si="14"/>
        <v>9106</v>
      </c>
      <c r="W25" s="5">
        <f t="shared" si="14"/>
        <v>9361.2000000000007</v>
      </c>
      <c r="X25" s="5">
        <f t="shared" si="14"/>
        <v>9351.7999999999993</v>
      </c>
      <c r="Y25" s="5">
        <f t="shared" ref="Y25:AC25" si="15">SUM(Y20:Y24)</f>
        <v>9495.9</v>
      </c>
      <c r="Z25" s="5">
        <f t="shared" si="15"/>
        <v>9369.2000000000007</v>
      </c>
      <c r="AA25" s="5">
        <f t="shared" ref="AA25" si="16">SUM(AA20:AA24)</f>
        <v>9310.9</v>
      </c>
      <c r="AB25" s="5">
        <f t="shared" si="15"/>
        <v>9751.5</v>
      </c>
      <c r="AC25" s="5">
        <f t="shared" si="15"/>
        <v>9589.7000000000007</v>
      </c>
      <c r="AD25" s="5">
        <f t="shared" ref="AD25:AE25" si="17">SUM(AD20:AD24)</f>
        <v>9600.7000000000007</v>
      </c>
      <c r="AE25" s="5">
        <f t="shared" si="17"/>
        <v>9612.4</v>
      </c>
      <c r="AF25" s="5">
        <f t="shared" ref="AF25:AG25" si="18">SUM(AF20:AF24)</f>
        <v>9635.6999999999989</v>
      </c>
      <c r="AG25" s="5">
        <f t="shared" si="18"/>
        <v>9628.7999999999993</v>
      </c>
      <c r="AH25" s="5">
        <f t="shared" ref="AH25:AI25" si="19">SUM(AH20:AH24)</f>
        <v>9506</v>
      </c>
      <c r="AI25" s="5">
        <f t="shared" si="19"/>
        <v>9490.9</v>
      </c>
      <c r="AJ25" s="5">
        <f t="shared" ref="AJ25:AK25" si="20">SUM(AJ20:AJ24)</f>
        <v>9475.0999999999985</v>
      </c>
      <c r="AK25" s="5">
        <f t="shared" si="20"/>
        <v>9506.1</v>
      </c>
      <c r="AL25" s="5">
        <f t="shared" ref="AL25:AO25" si="21">SUM(AL20:AL24)</f>
        <v>9684.8000000000011</v>
      </c>
      <c r="AM25" s="5">
        <f t="shared" si="21"/>
        <v>9610.2000000000007</v>
      </c>
      <c r="AN25" s="5">
        <f t="shared" si="21"/>
        <v>9622.1</v>
      </c>
      <c r="AO25" s="5">
        <f t="shared" si="21"/>
        <v>9592.5</v>
      </c>
      <c r="AP25" s="5">
        <f t="shared" ref="AP25:AS25" si="22">SUM(AP20:AP24)</f>
        <v>9617.7000000000007</v>
      </c>
      <c r="AQ25" s="5">
        <f t="shared" si="22"/>
        <v>9599.5</v>
      </c>
      <c r="AR25" s="5">
        <f t="shared" si="22"/>
        <v>9617.4</v>
      </c>
      <c r="AS25" s="5">
        <f t="shared" si="22"/>
        <v>9604</v>
      </c>
      <c r="AT25" s="5">
        <f t="shared" ref="AT25:AU25" si="23">SUM(AT20:AT24)</f>
        <v>9607.6</v>
      </c>
      <c r="AU25" s="5">
        <f t="shared" si="23"/>
        <v>9592</v>
      </c>
      <c r="AV25" s="5">
        <f t="shared" ref="AV25:BF25" si="24">SUM(AV20:AV24)</f>
        <v>9599.6</v>
      </c>
      <c r="AW25" s="5">
        <f t="shared" si="24"/>
        <v>9600.6999999999989</v>
      </c>
      <c r="AX25" s="5">
        <f t="shared" si="24"/>
        <v>9586.3000000000011</v>
      </c>
      <c r="AY25" s="5">
        <f t="shared" si="24"/>
        <v>9601.9</v>
      </c>
      <c r="AZ25" s="5">
        <f t="shared" si="24"/>
        <v>9567.6</v>
      </c>
      <c r="BA25" s="5">
        <f t="shared" si="24"/>
        <v>9579.8000000000011</v>
      </c>
      <c r="BB25" s="5">
        <f t="shared" si="24"/>
        <v>9575.7000000000007</v>
      </c>
      <c r="BC25" s="5">
        <f t="shared" si="24"/>
        <v>9588.1</v>
      </c>
      <c r="BD25" s="5">
        <f t="shared" si="24"/>
        <v>9587.5</v>
      </c>
      <c r="BE25" s="5">
        <f t="shared" si="24"/>
        <v>9598.1</v>
      </c>
      <c r="BF25" s="5">
        <f t="shared" si="24"/>
        <v>9582.2999999999993</v>
      </c>
      <c r="BG25" s="5">
        <f t="shared" ref="BG25" si="25">SUM(BG20:BG24)</f>
        <v>9593</v>
      </c>
    </row>
    <row r="26" spans="1:59" ht="16.2" thickBot="1" x14ac:dyDescent="0.35">
      <c r="A26" s="18"/>
      <c r="B26" s="49"/>
      <c r="C26" s="37"/>
      <c r="D26" s="4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</row>
    <row r="27" spans="1:59" ht="15.6" x14ac:dyDescent="0.3">
      <c r="A27" s="17" t="s">
        <v>49</v>
      </c>
      <c r="B27" s="41">
        <v>11328.916666666666</v>
      </c>
      <c r="C27" s="42">
        <v>11333.816666666666</v>
      </c>
      <c r="D27" s="7">
        <f t="shared" ref="D27:Q27" si="26">D25+D18</f>
        <v>11082.8</v>
      </c>
      <c r="E27" s="7">
        <f t="shared" si="26"/>
        <v>11087.400000000001</v>
      </c>
      <c r="F27" s="7">
        <f t="shared" si="26"/>
        <v>11280.2</v>
      </c>
      <c r="G27" s="7">
        <f t="shared" si="26"/>
        <v>11284.2</v>
      </c>
      <c r="H27" s="7">
        <f t="shared" si="26"/>
        <v>11275.5</v>
      </c>
      <c r="I27" s="7">
        <f t="shared" si="26"/>
        <v>11277.1</v>
      </c>
      <c r="J27" s="7">
        <f t="shared" si="26"/>
        <v>11274.9</v>
      </c>
      <c r="K27" s="7">
        <f t="shared" si="26"/>
        <v>11292.5</v>
      </c>
      <c r="L27" s="7">
        <f t="shared" si="26"/>
        <v>11289.499999999998</v>
      </c>
      <c r="M27" s="7">
        <f t="shared" si="26"/>
        <v>11283.4</v>
      </c>
      <c r="N27" s="7">
        <f t="shared" si="26"/>
        <v>11297</v>
      </c>
      <c r="O27" s="7">
        <f t="shared" si="26"/>
        <v>11291.6</v>
      </c>
      <c r="P27" s="7">
        <f t="shared" si="26"/>
        <v>11252.6</v>
      </c>
      <c r="Q27" s="7">
        <f t="shared" si="26"/>
        <v>11293.499999999998</v>
      </c>
      <c r="R27" s="7">
        <f t="shared" ref="R27:X27" si="27">R25+R18</f>
        <v>11293.4</v>
      </c>
      <c r="S27" s="7">
        <f t="shared" si="27"/>
        <v>11298.5</v>
      </c>
      <c r="T27" s="7">
        <f t="shared" si="27"/>
        <v>11292.099999999999</v>
      </c>
      <c r="U27" s="7">
        <f t="shared" si="27"/>
        <v>11276.5</v>
      </c>
      <c r="V27" s="7">
        <f t="shared" si="27"/>
        <v>11293.6</v>
      </c>
      <c r="W27" s="7">
        <f t="shared" si="27"/>
        <v>11295.1</v>
      </c>
      <c r="X27" s="7">
        <f t="shared" si="27"/>
        <v>11282.099999999999</v>
      </c>
      <c r="Y27" s="7">
        <f t="shared" ref="Y27:AC27" si="28">Y25+Y18</f>
        <v>11293.099999999999</v>
      </c>
      <c r="Z27" s="7">
        <f t="shared" si="28"/>
        <v>11294</v>
      </c>
      <c r="AA27" s="7">
        <f t="shared" ref="AA27" si="29">AA25+AA18</f>
        <v>11296.5</v>
      </c>
      <c r="AB27" s="7">
        <f t="shared" si="28"/>
        <v>11440.8</v>
      </c>
      <c r="AC27" s="7">
        <f t="shared" si="28"/>
        <v>11294.5</v>
      </c>
      <c r="AD27" s="7">
        <f t="shared" ref="AD27:AE27" si="30">AD25+AD18</f>
        <v>11294.2</v>
      </c>
      <c r="AE27" s="7">
        <f t="shared" si="30"/>
        <v>11298.3</v>
      </c>
      <c r="AF27" s="7">
        <f t="shared" ref="AF27:AG27" si="31">AF25+AF18</f>
        <v>11297.099999999999</v>
      </c>
      <c r="AG27" s="7">
        <f t="shared" si="31"/>
        <v>11298</v>
      </c>
      <c r="AH27" s="7">
        <f t="shared" ref="AH27:AI27" si="32">AH25+AH18</f>
        <v>11292.2</v>
      </c>
      <c r="AI27" s="7">
        <f t="shared" si="32"/>
        <v>11290.2</v>
      </c>
      <c r="AJ27" s="7">
        <f t="shared" ref="AJ27:AK27" si="33">AJ25+AJ18</f>
        <v>11293.3</v>
      </c>
      <c r="AK27" s="7">
        <f t="shared" si="33"/>
        <v>11292.2</v>
      </c>
      <c r="AL27" s="7">
        <f t="shared" ref="AL27:AO27" si="34">AL25+AL18</f>
        <v>11327.2</v>
      </c>
      <c r="AM27" s="7">
        <f t="shared" si="34"/>
        <v>11319.7</v>
      </c>
      <c r="AN27" s="7">
        <f t="shared" si="34"/>
        <v>11320.6</v>
      </c>
      <c r="AO27" s="7">
        <f t="shared" si="34"/>
        <v>11321.9</v>
      </c>
      <c r="AP27" s="7">
        <f t="shared" ref="AP27:AS27" si="35">AP25+AP18</f>
        <v>11321.7</v>
      </c>
      <c r="AQ27" s="7">
        <f t="shared" si="35"/>
        <v>11317.6</v>
      </c>
      <c r="AR27" s="7">
        <f t="shared" si="35"/>
        <v>11319.099999999999</v>
      </c>
      <c r="AS27" s="7">
        <f t="shared" si="35"/>
        <v>11318.9</v>
      </c>
      <c r="AT27" s="7">
        <f t="shared" ref="AT27:AU27" si="36">AT25+AT18</f>
        <v>11321.6</v>
      </c>
      <c r="AU27" s="7">
        <f t="shared" si="36"/>
        <v>11322.9</v>
      </c>
      <c r="AV27" s="7">
        <f t="shared" ref="AV27:BF27" si="37">AV25+AV18</f>
        <v>11323</v>
      </c>
      <c r="AW27" s="7">
        <f t="shared" si="37"/>
        <v>11352</v>
      </c>
      <c r="AX27" s="7">
        <f t="shared" si="37"/>
        <v>11336.400000000001</v>
      </c>
      <c r="AY27" s="7">
        <f t="shared" si="37"/>
        <v>11337</v>
      </c>
      <c r="AZ27" s="7">
        <f t="shared" si="37"/>
        <v>11334.6</v>
      </c>
      <c r="BA27" s="7">
        <f t="shared" si="37"/>
        <v>11332.2</v>
      </c>
      <c r="BB27" s="7">
        <f t="shared" si="37"/>
        <v>11336.300000000001</v>
      </c>
      <c r="BC27" s="7">
        <f t="shared" si="37"/>
        <v>11335.9</v>
      </c>
      <c r="BD27" s="7">
        <f t="shared" si="37"/>
        <v>11337.7</v>
      </c>
      <c r="BE27" s="7">
        <f t="shared" si="37"/>
        <v>11337.2</v>
      </c>
      <c r="BF27" s="7">
        <f t="shared" si="37"/>
        <v>11334.9</v>
      </c>
      <c r="BG27" s="7">
        <f t="shared" ref="BG27" si="38">BG25+BG18</f>
        <v>11336.6</v>
      </c>
    </row>
    <row r="28" spans="1:59" ht="15.6" x14ac:dyDescent="0.3">
      <c r="A28" s="17" t="s">
        <v>50</v>
      </c>
      <c r="D28" s="7">
        <f t="shared" ref="D28:Q28" si="39">18.4*D25</f>
        <v>160155.44</v>
      </c>
      <c r="E28" s="7">
        <f t="shared" si="39"/>
        <v>159934.63999999998</v>
      </c>
      <c r="F28" s="7">
        <f t="shared" si="39"/>
        <v>166632.24</v>
      </c>
      <c r="G28" s="7">
        <f t="shared" si="39"/>
        <v>165719.59999999998</v>
      </c>
      <c r="H28" s="7">
        <f t="shared" si="39"/>
        <v>165500.63999999998</v>
      </c>
      <c r="I28" s="7">
        <f t="shared" si="39"/>
        <v>165233.84</v>
      </c>
      <c r="J28" s="7">
        <f t="shared" si="39"/>
        <v>165388.4</v>
      </c>
      <c r="K28" s="7">
        <f t="shared" si="39"/>
        <v>166166.72</v>
      </c>
      <c r="L28" s="7">
        <f t="shared" si="39"/>
        <v>168113.43999999997</v>
      </c>
      <c r="M28" s="7">
        <f t="shared" si="39"/>
        <v>167942.31999999998</v>
      </c>
      <c r="N28" s="7">
        <f t="shared" si="39"/>
        <v>167758.31999999998</v>
      </c>
      <c r="O28" s="7">
        <f t="shared" si="39"/>
        <v>168122.63999999998</v>
      </c>
      <c r="P28" s="7">
        <f t="shared" si="39"/>
        <v>175456.88</v>
      </c>
      <c r="Q28" s="7">
        <f t="shared" si="39"/>
        <v>168049.03999999995</v>
      </c>
      <c r="R28" s="7">
        <f t="shared" ref="R28:X28" si="40">18.4*R25</f>
        <v>168255.11999999997</v>
      </c>
      <c r="S28" s="7">
        <f t="shared" si="40"/>
        <v>167953.36</v>
      </c>
      <c r="T28" s="7">
        <f t="shared" si="40"/>
        <v>168146.55999999997</v>
      </c>
      <c r="U28" s="7">
        <f t="shared" si="40"/>
        <v>169132.79999999999</v>
      </c>
      <c r="V28" s="7">
        <f t="shared" si="40"/>
        <v>167550.39999999999</v>
      </c>
      <c r="W28" s="7">
        <f t="shared" si="40"/>
        <v>172246.08</v>
      </c>
      <c r="X28" s="7">
        <f t="shared" si="40"/>
        <v>172073.11999999997</v>
      </c>
      <c r="Y28" s="7">
        <f t="shared" ref="Y28:AC28" si="41">18.4*Y25</f>
        <v>174724.55999999997</v>
      </c>
      <c r="Z28" s="7">
        <f t="shared" si="41"/>
        <v>172393.28</v>
      </c>
      <c r="AA28" s="7">
        <f t="shared" ref="AA28" si="42">18.4*AA25</f>
        <v>171320.55999999997</v>
      </c>
      <c r="AB28" s="7">
        <f t="shared" si="41"/>
        <v>179427.59999999998</v>
      </c>
      <c r="AC28" s="7">
        <f t="shared" si="41"/>
        <v>176450.48</v>
      </c>
      <c r="AD28" s="7">
        <f t="shared" ref="AD28:AE28" si="43">18.4*AD25</f>
        <v>176652.88</v>
      </c>
      <c r="AE28" s="7">
        <f t="shared" si="43"/>
        <v>176868.15999999997</v>
      </c>
      <c r="AF28" s="7">
        <f t="shared" ref="AF28:AG28" si="44">18.4*AF25</f>
        <v>177296.87999999998</v>
      </c>
      <c r="AG28" s="7">
        <f t="shared" si="44"/>
        <v>177169.91999999998</v>
      </c>
      <c r="AH28" s="7">
        <f t="shared" ref="AH28:AI28" si="45">18.4*AH25</f>
        <v>174910.4</v>
      </c>
      <c r="AI28" s="7">
        <f t="shared" si="45"/>
        <v>174632.55999999997</v>
      </c>
      <c r="AJ28" s="7">
        <f t="shared" ref="AJ28:AK28" si="46">18.4*AJ25</f>
        <v>174341.83999999997</v>
      </c>
      <c r="AK28" s="7">
        <f t="shared" si="46"/>
        <v>174912.24</v>
      </c>
      <c r="AL28" s="7">
        <f t="shared" ref="AL28:AO28" si="47">18.4*AL25</f>
        <v>178200.32000000001</v>
      </c>
      <c r="AM28" s="7">
        <f t="shared" si="47"/>
        <v>176827.68</v>
      </c>
      <c r="AN28" s="7">
        <f t="shared" si="47"/>
        <v>177046.63999999998</v>
      </c>
      <c r="AO28" s="7">
        <f t="shared" si="47"/>
        <v>176502</v>
      </c>
      <c r="AP28" s="7">
        <f t="shared" ref="AP28:AS28" si="48">18.4*AP25</f>
        <v>176965.68</v>
      </c>
      <c r="AQ28" s="7">
        <f t="shared" si="48"/>
        <v>176630.8</v>
      </c>
      <c r="AR28" s="7">
        <f t="shared" si="48"/>
        <v>176960.15999999997</v>
      </c>
      <c r="AS28" s="7">
        <f t="shared" si="48"/>
        <v>176713.59999999998</v>
      </c>
      <c r="AT28" s="7">
        <f t="shared" ref="AT28:AU28" si="49">18.4*AT25</f>
        <v>176779.84</v>
      </c>
      <c r="AU28" s="7">
        <f t="shared" si="49"/>
        <v>176492.79999999999</v>
      </c>
      <c r="AV28" s="7">
        <f t="shared" ref="AV28:BF28" si="50">18.4*AV25</f>
        <v>176632.63999999998</v>
      </c>
      <c r="AW28" s="7">
        <f t="shared" si="50"/>
        <v>176652.87999999998</v>
      </c>
      <c r="AX28" s="7">
        <f t="shared" si="50"/>
        <v>176387.92</v>
      </c>
      <c r="AY28" s="7">
        <f t="shared" si="50"/>
        <v>176674.96</v>
      </c>
      <c r="AZ28" s="7">
        <f t="shared" si="50"/>
        <v>176043.84</v>
      </c>
      <c r="BA28" s="7">
        <f t="shared" si="50"/>
        <v>176268.32</v>
      </c>
      <c r="BB28" s="7">
        <f t="shared" si="50"/>
        <v>176192.88</v>
      </c>
      <c r="BC28" s="7">
        <f t="shared" si="50"/>
        <v>176421.03999999998</v>
      </c>
      <c r="BD28" s="7">
        <f t="shared" si="50"/>
        <v>176410</v>
      </c>
      <c r="BE28" s="7">
        <f t="shared" si="50"/>
        <v>176605.03999999998</v>
      </c>
      <c r="BF28" s="7">
        <f t="shared" si="50"/>
        <v>176314.31999999998</v>
      </c>
      <c r="BG28" s="7">
        <f t="shared" ref="BG28" si="51">18.4*BG25</f>
        <v>176511.19999999998</v>
      </c>
    </row>
    <row r="29" spans="1:59" ht="21.6" thickBot="1" x14ac:dyDescent="0.35">
      <c r="A29" s="19" t="s">
        <v>51</v>
      </c>
      <c r="B29" s="50">
        <v>0.3749227722681463</v>
      </c>
      <c r="C29" s="51">
        <v>0.3761873532607769</v>
      </c>
      <c r="D29" s="8">
        <f t="shared" ref="D29:Q29" si="52">(((D28/D27)-8.1)/20)</f>
        <v>0.31754051322770421</v>
      </c>
      <c r="E29" s="8">
        <f t="shared" si="52"/>
        <v>0.31624501686599188</v>
      </c>
      <c r="F29" s="8">
        <f t="shared" si="52"/>
        <v>0.33360498927323973</v>
      </c>
      <c r="G29" s="8">
        <f t="shared" si="52"/>
        <v>0.32929928572694556</v>
      </c>
      <c r="H29" s="8">
        <f t="shared" si="52"/>
        <v>0.3288949048822668</v>
      </c>
      <c r="I29" s="8">
        <f t="shared" si="52"/>
        <v>0.32760785130929049</v>
      </c>
      <c r="J29" s="8">
        <f t="shared" si="52"/>
        <v>0.32843621672919499</v>
      </c>
      <c r="K29" s="8">
        <f t="shared" si="52"/>
        <v>0.33073929599291568</v>
      </c>
      <c r="L29" s="8">
        <f>(((L28/L27)-8.1)/20)</f>
        <v>0.33955662341113424</v>
      </c>
      <c r="M29" s="8">
        <f t="shared" si="52"/>
        <v>0.33920086144247297</v>
      </c>
      <c r="N29" s="8">
        <f t="shared" si="52"/>
        <v>0.3374905727184207</v>
      </c>
      <c r="O29" s="8">
        <f t="shared" si="52"/>
        <v>0.33945888979418315</v>
      </c>
      <c r="P29" s="65">
        <f t="shared" si="52"/>
        <v>0.37462817482181893</v>
      </c>
      <c r="Q29" s="8">
        <f t="shared" si="52"/>
        <v>0.33900779209279663</v>
      </c>
      <c r="R29" s="8">
        <f t="shared" ref="R29" si="53">(((R28/R27)-8.1)/20)</f>
        <v>0.3399267713885985</v>
      </c>
      <c r="S29" s="8">
        <f>(((S28/S27)-8.1)/20)</f>
        <v>0.33825512236137534</v>
      </c>
      <c r="T29" s="8">
        <f t="shared" ref="T29:X29" si="54">(((T28/T27)-8.1)/20)</f>
        <v>0.33953184084448418</v>
      </c>
      <c r="U29" s="8">
        <f t="shared" si="54"/>
        <v>0.3449348202013035</v>
      </c>
      <c r="V29" s="8">
        <f t="shared" si="54"/>
        <v>0.33679358220585104</v>
      </c>
      <c r="W29" s="8">
        <f>(((W28/W27)-8.1)/20)</f>
        <v>0.35748143000061966</v>
      </c>
      <c r="X29" s="8">
        <f t="shared" si="54"/>
        <v>0.35759348880084374</v>
      </c>
      <c r="Y29" s="8">
        <f t="shared" ref="Y29:AC29" si="55">(((Y28/Y27)-8.1)/20)</f>
        <v>0.36858989117248581</v>
      </c>
      <c r="Z29" s="8">
        <f t="shared" si="55"/>
        <v>0.35820736674340364</v>
      </c>
      <c r="AA29" s="8">
        <f t="shared" ref="AA29" si="56">(((AA28/AA27)-8.1)/20)</f>
        <v>0.35329044394281406</v>
      </c>
      <c r="AB29" s="8">
        <f t="shared" si="55"/>
        <v>0.37915670232850845</v>
      </c>
      <c r="AC29" s="8">
        <f t="shared" si="55"/>
        <v>0.37613453450794643</v>
      </c>
      <c r="AD29" s="8">
        <f t="shared" ref="AD29:AE29" si="57">(((AD28/AD27)-8.1)/20)</f>
        <v>0.37705131837580347</v>
      </c>
      <c r="AE29" s="8">
        <f t="shared" si="57"/>
        <v>0.37772023224732915</v>
      </c>
      <c r="AF29" s="8">
        <f t="shared" ref="AF29:AG29" si="58">(((AF28/AF27)-8.1)/20)</f>
        <v>0.37970085243115487</v>
      </c>
      <c r="AG29" s="8">
        <f t="shared" si="58"/>
        <v>0.37907647371216135</v>
      </c>
      <c r="AH29" s="8">
        <f t="shared" ref="AH29:AI29" si="59">(((AH28/AH27)-8.1)/20)</f>
        <v>0.36947441596854463</v>
      </c>
      <c r="AI29" s="8">
        <f t="shared" si="59"/>
        <v>0.368381162424049</v>
      </c>
      <c r="AJ29" s="8">
        <f t="shared" ref="AJ29:AK29" si="60">(((AJ28/AJ27)-8.1)/20)</f>
        <v>0.36688173518812028</v>
      </c>
      <c r="AK29" s="8">
        <f t="shared" si="60"/>
        <v>0.36948256318520745</v>
      </c>
      <c r="AL29" s="8">
        <f t="shared" ref="AL29:AN29" si="61">(((AL28/AL27)-8.1)/20)</f>
        <v>0.38160357369870751</v>
      </c>
      <c r="AM29" s="8">
        <f t="shared" si="61"/>
        <v>0.37606168891401709</v>
      </c>
      <c r="AN29" s="8">
        <f t="shared" si="61"/>
        <v>0.3769666802112962</v>
      </c>
      <c r="AO29" s="8">
        <f>(((AO28/AO27)-8.1)/20)</f>
        <v>0.37447164345207079</v>
      </c>
      <c r="AP29" s="8">
        <f t="shared" ref="AP29:AR29" si="62">(((AP28/AP27)-8.1)/20)</f>
        <v>0.37653316198097453</v>
      </c>
      <c r="AQ29" s="8">
        <f t="shared" si="62"/>
        <v>0.3753368205273202</v>
      </c>
      <c r="AR29" s="8">
        <f t="shared" si="62"/>
        <v>0.37668829677271159</v>
      </c>
      <c r="AS29" s="8">
        <f>(((AS28/AS27)-8.1)/20)</f>
        <v>0.37561295708946973</v>
      </c>
      <c r="AT29" s="8">
        <f t="shared" ref="AT29:AU29" si="63">(((AT28/AT27)-8.1)/20)</f>
        <v>0.37571933295647258</v>
      </c>
      <c r="AU29" s="8">
        <f t="shared" si="63"/>
        <v>0.3743621775340239</v>
      </c>
      <c r="AV29" s="8">
        <f>(((AV28/AV27)-8.1)/20)</f>
        <v>0.37497279872825218</v>
      </c>
      <c r="AW29" s="8">
        <f t="shared" ref="AV29:AY29" si="64">(((AW28/AW27)-8.1)/20)</f>
        <v>0.37306941508104285</v>
      </c>
      <c r="AX29" s="8">
        <f t="shared" si="64"/>
        <v>0.3729714900673935</v>
      </c>
      <c r="AY29" s="8">
        <f t="shared" si="64"/>
        <v>0.37419626003351852</v>
      </c>
      <c r="AZ29" s="8">
        <f>(((AZ28/AZ27)-8.1)/20)</f>
        <v>0.37157720607696787</v>
      </c>
      <c r="BA29" s="8">
        <f t="shared" ref="BA29:BC29" si="65">(((BA28/BA27)-8.1)/20)</f>
        <v>0.37273212615379181</v>
      </c>
      <c r="BB29" s="8">
        <f t="shared" si="65"/>
        <v>0.37211810731896644</v>
      </c>
      <c r="BC29" s="8">
        <f t="shared" si="65"/>
        <v>0.3731518891309909</v>
      </c>
      <c r="BD29" s="8">
        <f>(((BD28/BD27)-8.1)/20)</f>
        <v>0.37297966077775913</v>
      </c>
      <c r="BE29" s="8">
        <f t="shared" ref="BE29:BG29" si="66">(((BE28/BE27)-8.1)/20)</f>
        <v>0.37387414881981434</v>
      </c>
      <c r="BF29" s="8">
        <f t="shared" si="66"/>
        <v>0.37274978164783096</v>
      </c>
      <c r="BG29" s="8">
        <f t="shared" si="66"/>
        <v>0.37350149074678463</v>
      </c>
    </row>
    <row r="30" spans="1:59" ht="15" thickBot="1" x14ac:dyDescent="0.35">
      <c r="A30" s="20"/>
      <c r="B30" s="49"/>
      <c r="C30" s="37"/>
      <c r="D30" s="4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spans="1:59" ht="15.6" x14ac:dyDescent="0.3">
      <c r="A31" s="17" t="s">
        <v>52</v>
      </c>
      <c r="B31" s="41">
        <v>2206.1000000000004</v>
      </c>
      <c r="C31" s="42">
        <v>2210.2166666666667</v>
      </c>
      <c r="D31" s="9">
        <f t="shared" ref="D31:Q31" si="67">D13+D20</f>
        <v>2237.7999999999997</v>
      </c>
      <c r="E31" s="9">
        <f t="shared" si="67"/>
        <v>2159.8000000000002</v>
      </c>
      <c r="F31" s="9">
        <f t="shared" si="67"/>
        <v>2344.9</v>
      </c>
      <c r="G31" s="9">
        <f t="shared" si="67"/>
        <v>2296.1</v>
      </c>
      <c r="H31" s="9">
        <f t="shared" si="67"/>
        <v>2277</v>
      </c>
      <c r="I31" s="9">
        <f t="shared" si="67"/>
        <v>2316.6</v>
      </c>
      <c r="J31" s="9">
        <f t="shared" si="67"/>
        <v>2281.1</v>
      </c>
      <c r="K31" s="9">
        <f t="shared" si="67"/>
        <v>2334.6999999999998</v>
      </c>
      <c r="L31" s="9">
        <f t="shared" si="67"/>
        <v>2305.3000000000002</v>
      </c>
      <c r="M31" s="9">
        <f t="shared" si="67"/>
        <v>2286.1999999999998</v>
      </c>
      <c r="N31" s="9">
        <f t="shared" si="67"/>
        <v>2261.5</v>
      </c>
      <c r="O31" s="9">
        <f t="shared" si="67"/>
        <v>2267.4</v>
      </c>
      <c r="P31" s="9">
        <f t="shared" si="67"/>
        <v>2114.5</v>
      </c>
      <c r="Q31" s="9">
        <f t="shared" si="67"/>
        <v>2253.1</v>
      </c>
      <c r="R31" s="9">
        <f t="shared" ref="R31:X31" si="68">R13+R20</f>
        <v>2333.1</v>
      </c>
      <c r="S31" s="9">
        <f t="shared" si="68"/>
        <v>2223.6999999999998</v>
      </c>
      <c r="T31" s="9">
        <f t="shared" si="68"/>
        <v>2248.9</v>
      </c>
      <c r="U31" s="9">
        <f t="shared" si="68"/>
        <v>2237.9</v>
      </c>
      <c r="V31" s="9">
        <f t="shared" si="68"/>
        <v>2230.1999999999998</v>
      </c>
      <c r="W31" s="9">
        <f t="shared" si="68"/>
        <v>2244.8000000000002</v>
      </c>
      <c r="X31" s="9">
        <f t="shared" si="68"/>
        <v>2220.6</v>
      </c>
      <c r="Y31" s="9">
        <f t="shared" ref="Y31:AC31" si="69">Y13+Y20</f>
        <v>2210.1999999999998</v>
      </c>
      <c r="Z31" s="9">
        <f t="shared" si="69"/>
        <v>2216</v>
      </c>
      <c r="AA31" s="9">
        <f t="shared" ref="AA31:AB35" si="70">AA13+AA20</f>
        <v>2228</v>
      </c>
      <c r="AB31" s="9">
        <f t="shared" si="70"/>
        <v>2220.8000000000002</v>
      </c>
      <c r="AC31" s="9">
        <f t="shared" si="69"/>
        <v>2229.6</v>
      </c>
      <c r="AD31" s="9">
        <f t="shared" ref="AD31:AE31" si="71">AD13+AD20</f>
        <v>2174.9</v>
      </c>
      <c r="AE31" s="9">
        <f t="shared" si="71"/>
        <v>2246.1</v>
      </c>
      <c r="AF31" s="9">
        <f t="shared" ref="AF31:AG31" si="72">AF13+AF20</f>
        <v>2234.5</v>
      </c>
      <c r="AG31" s="9">
        <f t="shared" si="72"/>
        <v>2203.4</v>
      </c>
      <c r="AH31" s="9">
        <f t="shared" ref="AH31:AI31" si="73">AH13+AH20</f>
        <v>2194.9</v>
      </c>
      <c r="AI31" s="9">
        <f t="shared" si="73"/>
        <v>2193.4</v>
      </c>
      <c r="AJ31" s="9">
        <f t="shared" ref="AJ31:AK31" si="74">AJ13+AJ20</f>
        <v>2202.3000000000002</v>
      </c>
      <c r="AK31" s="9">
        <f t="shared" si="74"/>
        <v>2163.1999999999998</v>
      </c>
      <c r="AL31" s="9">
        <f t="shared" ref="AL31:AO31" si="75">AL13+AL20</f>
        <v>2226.5</v>
      </c>
      <c r="AM31" s="9">
        <f t="shared" si="75"/>
        <v>2223.4</v>
      </c>
      <c r="AN31" s="9">
        <f t="shared" si="75"/>
        <v>2234.3000000000002</v>
      </c>
      <c r="AO31" s="9">
        <f t="shared" si="75"/>
        <v>2180.6</v>
      </c>
      <c r="AP31" s="9">
        <f t="shared" ref="AP31:AS31" si="76">AP13+AP20</f>
        <v>2266.2999999999997</v>
      </c>
      <c r="AQ31" s="9">
        <f t="shared" si="76"/>
        <v>2226.5</v>
      </c>
      <c r="AR31" s="9">
        <f t="shared" si="76"/>
        <v>2240.4</v>
      </c>
      <c r="AS31" s="9">
        <f t="shared" si="76"/>
        <v>2196.6999999999998</v>
      </c>
      <c r="AT31" s="9">
        <f t="shared" ref="AT31:AU31" si="77">AT13+AT20</f>
        <v>2200.3000000000002</v>
      </c>
      <c r="AU31" s="9">
        <f t="shared" si="77"/>
        <v>2262</v>
      </c>
      <c r="AV31" s="9">
        <f t="shared" ref="AV31:BF31" si="78">AV13+AV20</f>
        <v>2239.6</v>
      </c>
      <c r="AW31" s="9">
        <f t="shared" si="78"/>
        <v>2291.4</v>
      </c>
      <c r="AX31" s="9">
        <f t="shared" si="78"/>
        <v>2201.6</v>
      </c>
      <c r="AY31" s="9">
        <f t="shared" si="78"/>
        <v>2202.6999999999998</v>
      </c>
      <c r="AZ31" s="9">
        <f t="shared" si="78"/>
        <v>2194.2000000000003</v>
      </c>
      <c r="BA31" s="9">
        <f t="shared" si="78"/>
        <v>2170.6999999999998</v>
      </c>
      <c r="BB31" s="9">
        <f t="shared" si="78"/>
        <v>2169.5</v>
      </c>
      <c r="BC31" s="9">
        <f t="shared" si="78"/>
        <v>2200.4</v>
      </c>
      <c r="BD31" s="9">
        <f t="shared" si="78"/>
        <v>2252.6999999999998</v>
      </c>
      <c r="BE31" s="9">
        <f t="shared" si="78"/>
        <v>2218.6</v>
      </c>
      <c r="BF31" s="9">
        <f t="shared" si="78"/>
        <v>2226.1</v>
      </c>
      <c r="BG31" s="9">
        <f t="shared" ref="BG31" si="79">BG13+BG20</f>
        <v>2280.4</v>
      </c>
    </row>
    <row r="32" spans="1:59" ht="15.6" x14ac:dyDescent="0.3">
      <c r="A32" s="17" t="s">
        <v>53</v>
      </c>
      <c r="B32" s="26">
        <v>1840.5</v>
      </c>
      <c r="C32" s="27">
        <v>1823.6666666666667</v>
      </c>
      <c r="D32" s="9">
        <f t="shared" ref="D32:Q32" si="80">D14+D21</f>
        <v>1710.5</v>
      </c>
      <c r="E32" s="9">
        <f t="shared" si="80"/>
        <v>1781.2</v>
      </c>
      <c r="F32" s="9">
        <f t="shared" si="80"/>
        <v>1660.8</v>
      </c>
      <c r="G32" s="9">
        <f t="shared" si="80"/>
        <v>1581.1</v>
      </c>
      <c r="H32" s="9">
        <f t="shared" si="80"/>
        <v>1724.2</v>
      </c>
      <c r="I32" s="9">
        <f t="shared" si="80"/>
        <v>1436.6000000000001</v>
      </c>
      <c r="J32" s="9">
        <f t="shared" si="80"/>
        <v>1574.8999999999999</v>
      </c>
      <c r="K32" s="9">
        <f t="shared" si="80"/>
        <v>1545.4</v>
      </c>
      <c r="L32" s="9">
        <f t="shared" si="80"/>
        <v>1668.6999999999998</v>
      </c>
      <c r="M32" s="9">
        <f t="shared" si="80"/>
        <v>1712.3000000000002</v>
      </c>
      <c r="N32" s="9">
        <f t="shared" si="80"/>
        <v>1743.6000000000001</v>
      </c>
      <c r="O32" s="9">
        <f t="shared" si="80"/>
        <v>1748.5</v>
      </c>
      <c r="P32" s="9">
        <f t="shared" si="80"/>
        <v>1910.5</v>
      </c>
      <c r="Q32" s="9">
        <f t="shared" si="80"/>
        <v>1793.8000000000002</v>
      </c>
      <c r="R32" s="9">
        <f t="shared" ref="R32:X32" si="81">R14+R21</f>
        <v>1671.2</v>
      </c>
      <c r="S32" s="9">
        <f t="shared" si="81"/>
        <v>1830.3</v>
      </c>
      <c r="T32" s="9">
        <f t="shared" si="81"/>
        <v>1779.2</v>
      </c>
      <c r="U32" s="9">
        <f t="shared" si="81"/>
        <v>1745.6</v>
      </c>
      <c r="V32" s="9">
        <f t="shared" si="81"/>
        <v>1734.1</v>
      </c>
      <c r="W32" s="9">
        <f t="shared" si="81"/>
        <v>1752.8000000000002</v>
      </c>
      <c r="X32" s="9">
        <f t="shared" si="81"/>
        <v>1663</v>
      </c>
      <c r="Y32" s="9">
        <f t="shared" ref="Y32:AC32" si="82">Y14+Y21</f>
        <v>1841</v>
      </c>
      <c r="Z32" s="9">
        <f t="shared" si="82"/>
        <v>1874</v>
      </c>
      <c r="AA32" s="9">
        <f t="shared" si="70"/>
        <v>1811.9</v>
      </c>
      <c r="AB32" s="9">
        <f t="shared" si="70"/>
        <v>1894.2</v>
      </c>
      <c r="AC32" s="9">
        <f t="shared" si="82"/>
        <v>1731.2</v>
      </c>
      <c r="AD32" s="9">
        <f t="shared" ref="AD32:AE32" si="83">AD14+AD21</f>
        <v>1808.1</v>
      </c>
      <c r="AE32" s="9">
        <f t="shared" si="83"/>
        <v>1724</v>
      </c>
      <c r="AF32" s="9">
        <f t="shared" ref="AF32:AG32" si="84">AF14+AF21</f>
        <v>1779.4</v>
      </c>
      <c r="AG32" s="9">
        <f t="shared" si="84"/>
        <v>1787.9</v>
      </c>
      <c r="AH32" s="9">
        <f t="shared" ref="AH32:AI32" si="85">AH14+AH21</f>
        <v>1865.1</v>
      </c>
      <c r="AI32" s="9">
        <f t="shared" si="85"/>
        <v>1830.2</v>
      </c>
      <c r="AJ32" s="9">
        <f t="shared" ref="AJ32:AK32" si="86">AJ14+AJ21</f>
        <v>1801.2</v>
      </c>
      <c r="AK32" s="9">
        <f t="shared" si="86"/>
        <v>1878.4</v>
      </c>
      <c r="AL32" s="9">
        <f t="shared" ref="AL32:AO32" si="87">AL14+AL21</f>
        <v>1872.3000000000002</v>
      </c>
      <c r="AM32" s="9">
        <f t="shared" si="87"/>
        <v>1834</v>
      </c>
      <c r="AN32" s="9">
        <f t="shared" si="87"/>
        <v>1863</v>
      </c>
      <c r="AO32" s="9">
        <f t="shared" si="87"/>
        <v>1860.5</v>
      </c>
      <c r="AP32" s="9">
        <f t="shared" ref="AP32:AS32" si="88">AP14+AP21</f>
        <v>1804.5</v>
      </c>
      <c r="AQ32" s="9">
        <f t="shared" si="88"/>
        <v>1829.5</v>
      </c>
      <c r="AR32" s="9">
        <f t="shared" si="88"/>
        <v>1825.8</v>
      </c>
      <c r="AS32" s="9">
        <f t="shared" si="88"/>
        <v>1888.3</v>
      </c>
      <c r="AT32" s="9">
        <f t="shared" ref="AT32:AU32" si="89">AT14+AT21</f>
        <v>1838.3</v>
      </c>
      <c r="AU32" s="9">
        <f t="shared" si="89"/>
        <v>1774.6999999999998</v>
      </c>
      <c r="AV32" s="9">
        <f t="shared" ref="AV32:BF32" si="90">AV14+AV21</f>
        <v>1784.4</v>
      </c>
      <c r="AW32" s="9">
        <f t="shared" si="90"/>
        <v>1799.5</v>
      </c>
      <c r="AX32" s="9">
        <f t="shared" si="90"/>
        <v>1848.4</v>
      </c>
      <c r="AY32" s="9">
        <f t="shared" si="90"/>
        <v>1850.6999999999998</v>
      </c>
      <c r="AZ32" s="9">
        <f t="shared" si="90"/>
        <v>1845.9</v>
      </c>
      <c r="BA32" s="9">
        <f t="shared" si="90"/>
        <v>1862.6</v>
      </c>
      <c r="BB32" s="9">
        <f t="shared" si="90"/>
        <v>1889.8</v>
      </c>
      <c r="BC32" s="9">
        <f t="shared" si="90"/>
        <v>1815.8</v>
      </c>
      <c r="BD32" s="9">
        <f t="shared" si="90"/>
        <v>1857.6000000000001</v>
      </c>
      <c r="BE32" s="9">
        <f t="shared" si="90"/>
        <v>1807.5</v>
      </c>
      <c r="BF32" s="9">
        <f t="shared" si="90"/>
        <v>1834.5</v>
      </c>
      <c r="BG32" s="9">
        <f t="shared" ref="BG32" si="91">BG14+BG21</f>
        <v>1783.6</v>
      </c>
    </row>
    <row r="33" spans="1:59" ht="15.6" x14ac:dyDescent="0.3">
      <c r="A33" s="17" t="s">
        <v>54</v>
      </c>
      <c r="B33" s="26">
        <v>3246.4333333333329</v>
      </c>
      <c r="C33" s="27">
        <v>3239.2166666666667</v>
      </c>
      <c r="D33" s="9">
        <f t="shared" ref="D33:Q33" si="92">D15+D22</f>
        <v>3075.1</v>
      </c>
      <c r="E33" s="9">
        <f t="shared" si="92"/>
        <v>3088.3</v>
      </c>
      <c r="F33" s="9">
        <f t="shared" si="92"/>
        <v>3194.1</v>
      </c>
      <c r="G33" s="9">
        <f t="shared" si="92"/>
        <v>3396.4</v>
      </c>
      <c r="H33" s="9">
        <f t="shared" si="92"/>
        <v>3313.3</v>
      </c>
      <c r="I33" s="9">
        <f t="shared" si="92"/>
        <v>3557.5</v>
      </c>
      <c r="J33" s="9">
        <f t="shared" si="92"/>
        <v>3395.5</v>
      </c>
      <c r="K33" s="9">
        <f t="shared" si="92"/>
        <v>3398.3</v>
      </c>
      <c r="L33" s="9">
        <f t="shared" si="92"/>
        <v>3360.1</v>
      </c>
      <c r="M33" s="9">
        <f t="shared" si="92"/>
        <v>3270.5</v>
      </c>
      <c r="N33" s="9">
        <f t="shared" si="92"/>
        <v>3325.7</v>
      </c>
      <c r="O33" s="9">
        <f t="shared" si="92"/>
        <v>3287.5</v>
      </c>
      <c r="P33" s="9">
        <f t="shared" si="92"/>
        <v>3305</v>
      </c>
      <c r="Q33" s="9">
        <f t="shared" si="92"/>
        <v>3238.1</v>
      </c>
      <c r="R33" s="9">
        <f t="shared" ref="R33:X33" si="93">R15+R22</f>
        <v>3288.2</v>
      </c>
      <c r="S33" s="9">
        <f t="shared" si="93"/>
        <v>3252.5</v>
      </c>
      <c r="T33" s="9">
        <f t="shared" si="93"/>
        <v>3259.9</v>
      </c>
      <c r="U33" s="9">
        <f t="shared" si="93"/>
        <v>3306.2</v>
      </c>
      <c r="V33" s="9">
        <f t="shared" si="93"/>
        <v>3337.7</v>
      </c>
      <c r="W33" s="9">
        <f t="shared" si="93"/>
        <v>3332.9</v>
      </c>
      <c r="X33" s="9">
        <f t="shared" si="93"/>
        <v>3496.2</v>
      </c>
      <c r="Y33" s="9">
        <f t="shared" ref="Y33:AC33" si="94">Y15+Y22</f>
        <v>3204.6</v>
      </c>
      <c r="Z33" s="9">
        <f t="shared" si="94"/>
        <v>3167.1</v>
      </c>
      <c r="AA33" s="9">
        <f t="shared" si="70"/>
        <v>3258.3</v>
      </c>
      <c r="AB33" s="9">
        <f t="shared" si="70"/>
        <v>3259.9</v>
      </c>
      <c r="AC33" s="9">
        <f t="shared" si="94"/>
        <v>3257.4</v>
      </c>
      <c r="AD33" s="9">
        <f t="shared" ref="AD33:AE33" si="95">AD15+AD22</f>
        <v>3236.4</v>
      </c>
      <c r="AE33" s="9">
        <f t="shared" si="95"/>
        <v>3286.1</v>
      </c>
      <c r="AF33" s="9">
        <f t="shared" ref="AF33:AG33" si="96">AF15+AF22</f>
        <v>3222.4</v>
      </c>
      <c r="AG33" s="9">
        <f t="shared" si="96"/>
        <v>3273.9</v>
      </c>
      <c r="AH33" s="9">
        <f t="shared" ref="AH33:AI33" si="97">AH15+AH22</f>
        <v>3147.5</v>
      </c>
      <c r="AI33" s="9">
        <f t="shared" si="97"/>
        <v>3235.5</v>
      </c>
      <c r="AJ33" s="9">
        <f t="shared" ref="AJ33:AK33" si="98">AJ15+AJ22</f>
        <v>3241.6</v>
      </c>
      <c r="AK33" s="9">
        <f t="shared" si="98"/>
        <v>3196.8</v>
      </c>
      <c r="AL33" s="9">
        <f t="shared" ref="AL33:AO33" si="99">AL15+AL22</f>
        <v>3186.6</v>
      </c>
      <c r="AM33" s="9">
        <f t="shared" si="99"/>
        <v>3197.7</v>
      </c>
      <c r="AN33" s="9">
        <f t="shared" si="99"/>
        <v>3184.7</v>
      </c>
      <c r="AO33" s="9">
        <f t="shared" si="99"/>
        <v>3234.5</v>
      </c>
      <c r="AP33" s="9">
        <f t="shared" ref="AP33:AS33" si="100">AP15+AP22</f>
        <v>3162</v>
      </c>
      <c r="AQ33" s="9">
        <f t="shared" si="100"/>
        <v>3213.3</v>
      </c>
      <c r="AR33" s="9">
        <f t="shared" si="100"/>
        <v>3200.5</v>
      </c>
      <c r="AS33" s="9">
        <f t="shared" si="100"/>
        <v>3178</v>
      </c>
      <c r="AT33" s="9">
        <f t="shared" ref="AT33:AU33" si="101">AT15+AT22</f>
        <v>3255</v>
      </c>
      <c r="AU33" s="9">
        <f t="shared" si="101"/>
        <v>3222.1</v>
      </c>
      <c r="AV33" s="9">
        <f t="shared" ref="AV33:BF33" si="102">AV15+AV22</f>
        <v>3247.9</v>
      </c>
      <c r="AW33" s="9">
        <f t="shared" si="102"/>
        <v>3173.3</v>
      </c>
      <c r="AX33" s="9">
        <f t="shared" si="102"/>
        <v>3273.1</v>
      </c>
      <c r="AY33" s="9">
        <f t="shared" si="102"/>
        <v>3262.2</v>
      </c>
      <c r="AZ33" s="9">
        <f t="shared" si="102"/>
        <v>3280.1</v>
      </c>
      <c r="BA33" s="9">
        <f t="shared" si="102"/>
        <v>3289.2</v>
      </c>
      <c r="BB33" s="9">
        <f t="shared" si="102"/>
        <v>3229.8</v>
      </c>
      <c r="BC33" s="9">
        <f t="shared" si="102"/>
        <v>3287</v>
      </c>
      <c r="BD33" s="9">
        <f t="shared" si="102"/>
        <v>3132.2</v>
      </c>
      <c r="BE33" s="9">
        <f t="shared" si="102"/>
        <v>3265.6</v>
      </c>
      <c r="BF33" s="9">
        <f t="shared" si="102"/>
        <v>3216.7</v>
      </c>
      <c r="BG33" s="9">
        <f t="shared" ref="BG33" si="103">BG15+BG22</f>
        <v>3173.7</v>
      </c>
    </row>
    <row r="34" spans="1:59" ht="15.6" x14ac:dyDescent="0.3">
      <c r="A34" s="17" t="s">
        <v>55</v>
      </c>
      <c r="B34" s="26">
        <v>1867.05</v>
      </c>
      <c r="C34" s="27">
        <v>1897.0166666666671</v>
      </c>
      <c r="D34" s="9">
        <f t="shared" ref="D34:Q34" si="104">D16+D23</f>
        <v>1812.9</v>
      </c>
      <c r="E34" s="9">
        <f t="shared" si="104"/>
        <v>1896.2</v>
      </c>
      <c r="F34" s="9">
        <f t="shared" si="104"/>
        <v>1826.1</v>
      </c>
      <c r="G34" s="9">
        <f t="shared" si="104"/>
        <v>1858.8</v>
      </c>
      <c r="H34" s="9">
        <f t="shared" si="104"/>
        <v>1655.4</v>
      </c>
      <c r="I34" s="9">
        <f t="shared" si="104"/>
        <v>1863.8</v>
      </c>
      <c r="J34" s="9">
        <f t="shared" si="104"/>
        <v>1912.5</v>
      </c>
      <c r="K34" s="9">
        <f t="shared" si="104"/>
        <v>1823.1</v>
      </c>
      <c r="L34" s="9">
        <f t="shared" si="104"/>
        <v>1788.1</v>
      </c>
      <c r="M34" s="9">
        <f t="shared" si="104"/>
        <v>1893.2</v>
      </c>
      <c r="N34" s="9">
        <f t="shared" si="104"/>
        <v>1816.2</v>
      </c>
      <c r="O34" s="9">
        <f t="shared" si="104"/>
        <v>1849.5</v>
      </c>
      <c r="P34" s="9">
        <f t="shared" si="104"/>
        <v>1924.8</v>
      </c>
      <c r="Q34" s="9">
        <f t="shared" si="104"/>
        <v>1871.7</v>
      </c>
      <c r="R34" s="9">
        <f t="shared" ref="R34:X34" si="105">R16+R23</f>
        <v>1817.4</v>
      </c>
      <c r="S34" s="9">
        <f t="shared" si="105"/>
        <v>1798.2</v>
      </c>
      <c r="T34" s="9">
        <f t="shared" si="105"/>
        <v>1825.8</v>
      </c>
      <c r="U34" s="9">
        <f t="shared" si="105"/>
        <v>1833.2</v>
      </c>
      <c r="V34" s="9">
        <f>V16+V23</f>
        <v>1881.2</v>
      </c>
      <c r="W34" s="9">
        <f t="shared" si="105"/>
        <v>1765.8</v>
      </c>
      <c r="X34" s="9">
        <f t="shared" si="105"/>
        <v>1760.2</v>
      </c>
      <c r="Y34" s="9">
        <f t="shared" ref="Y34:AC34" si="106">Y16+Y23</f>
        <v>1894.6</v>
      </c>
      <c r="Z34" s="9">
        <f t="shared" si="106"/>
        <v>1855.8</v>
      </c>
      <c r="AA34" s="9">
        <f t="shared" si="70"/>
        <v>1805.7</v>
      </c>
      <c r="AB34" s="9">
        <f t="shared" si="70"/>
        <v>1883.9</v>
      </c>
      <c r="AC34" s="9">
        <f t="shared" si="106"/>
        <v>1895.2</v>
      </c>
      <c r="AD34" s="9">
        <f t="shared" ref="AD34:AE34" si="107">AD16+AD23</f>
        <v>1925.7</v>
      </c>
      <c r="AE34" s="9">
        <f t="shared" si="107"/>
        <v>1821.1</v>
      </c>
      <c r="AF34" s="9">
        <f t="shared" ref="AF34:AG34" si="108">AF16+AF23</f>
        <v>1824.2</v>
      </c>
      <c r="AG34" s="9">
        <f t="shared" si="108"/>
        <v>1822.9</v>
      </c>
      <c r="AH34" s="9">
        <f t="shared" ref="AH34:AI34" si="109">AH16+AH23</f>
        <v>1873.5</v>
      </c>
      <c r="AI34" s="9">
        <f t="shared" si="109"/>
        <v>1807.5</v>
      </c>
      <c r="AJ34" s="9">
        <f t="shared" ref="AJ34:AK34" si="110">AJ16+AJ23</f>
        <v>1856.2</v>
      </c>
      <c r="AK34" s="9">
        <f t="shared" si="110"/>
        <v>1864.3</v>
      </c>
      <c r="AL34" s="9">
        <f t="shared" ref="AL34:AO34" si="111">AL16+AL23</f>
        <v>1793.5</v>
      </c>
      <c r="AM34" s="9">
        <f t="shared" si="111"/>
        <v>1878.3</v>
      </c>
      <c r="AN34" s="9">
        <f t="shared" si="111"/>
        <v>1777</v>
      </c>
      <c r="AO34" s="9">
        <f t="shared" si="111"/>
        <v>1899.2</v>
      </c>
      <c r="AP34" s="9">
        <f t="shared" ref="AP34:AS34" si="112">AP16+AP23</f>
        <v>1870.3</v>
      </c>
      <c r="AQ34" s="9">
        <f t="shared" si="112"/>
        <v>1846.5</v>
      </c>
      <c r="AR34" s="9">
        <f t="shared" si="112"/>
        <v>1834</v>
      </c>
      <c r="AS34" s="9">
        <f t="shared" si="112"/>
        <v>1863</v>
      </c>
      <c r="AT34" s="9">
        <f t="shared" ref="AT34:AU34" si="113">AT16+AT23</f>
        <v>1843</v>
      </c>
      <c r="AU34" s="9">
        <f t="shared" si="113"/>
        <v>1859.9</v>
      </c>
      <c r="AV34" s="9">
        <f t="shared" ref="AV34:BF34" si="114">AV16+AV23</f>
        <v>1874.5</v>
      </c>
      <c r="AW34" s="9">
        <f t="shared" si="114"/>
        <v>1856.4</v>
      </c>
      <c r="AX34" s="9">
        <f t="shared" si="114"/>
        <v>1802.9</v>
      </c>
      <c r="AY34" s="9">
        <f t="shared" si="114"/>
        <v>1819.3</v>
      </c>
      <c r="AZ34" s="9">
        <f t="shared" si="114"/>
        <v>1815.8</v>
      </c>
      <c r="BA34" s="9">
        <f t="shared" si="114"/>
        <v>1843.4</v>
      </c>
      <c r="BB34" s="9">
        <f t="shared" si="114"/>
        <v>1893.4</v>
      </c>
      <c r="BC34" s="9">
        <f t="shared" si="114"/>
        <v>1877.5</v>
      </c>
      <c r="BD34" s="9">
        <f t="shared" si="114"/>
        <v>1852.8</v>
      </c>
      <c r="BE34" s="9">
        <f t="shared" si="114"/>
        <v>1868.6</v>
      </c>
      <c r="BF34" s="9">
        <f t="shared" si="114"/>
        <v>1854.3</v>
      </c>
      <c r="BG34" s="9">
        <f t="shared" ref="BG34" si="115">BG16+BG23</f>
        <v>1876.8</v>
      </c>
    </row>
    <row r="35" spans="1:59" ht="16.2" thickBot="1" x14ac:dyDescent="0.35">
      <c r="A35" s="17" t="s">
        <v>56</v>
      </c>
      <c r="B35" s="47">
        <v>2168.8333333333335</v>
      </c>
      <c r="C35" s="48">
        <v>2163.7000000000003</v>
      </c>
      <c r="D35" s="9">
        <f t="shared" ref="D35:Q35" si="116">D17+D24</f>
        <v>2246.5</v>
      </c>
      <c r="E35" s="9">
        <f t="shared" si="116"/>
        <v>2161.9</v>
      </c>
      <c r="F35" s="9">
        <f t="shared" si="116"/>
        <v>2254.3000000000002</v>
      </c>
      <c r="G35" s="9">
        <f t="shared" si="116"/>
        <v>2151.8000000000002</v>
      </c>
      <c r="H35" s="9">
        <f t="shared" si="116"/>
        <v>2305.6</v>
      </c>
      <c r="I35" s="9">
        <f t="shared" si="116"/>
        <v>2102.6</v>
      </c>
      <c r="J35" s="9">
        <f t="shared" si="116"/>
        <v>2110.9</v>
      </c>
      <c r="K35" s="9">
        <f t="shared" si="116"/>
        <v>2191</v>
      </c>
      <c r="L35" s="9">
        <f t="shared" si="116"/>
        <v>2167.3000000000002</v>
      </c>
      <c r="M35" s="9">
        <f t="shared" si="116"/>
        <v>2121.1999999999998</v>
      </c>
      <c r="N35" s="9">
        <f t="shared" si="116"/>
        <v>2150</v>
      </c>
      <c r="O35" s="9">
        <f t="shared" si="116"/>
        <v>2138.6999999999998</v>
      </c>
      <c r="P35" s="9">
        <f t="shared" si="116"/>
        <v>1997.8</v>
      </c>
      <c r="Q35" s="9">
        <f t="shared" si="116"/>
        <v>2136.8000000000002</v>
      </c>
      <c r="R35" s="9">
        <f t="shared" ref="R35:X35" si="117">R17+R24</f>
        <v>2183.5</v>
      </c>
      <c r="S35" s="9">
        <f t="shared" si="117"/>
        <v>2193.8000000000002</v>
      </c>
      <c r="T35" s="9">
        <f t="shared" si="117"/>
        <v>2178.3000000000002</v>
      </c>
      <c r="U35" s="9">
        <f t="shared" si="117"/>
        <v>2153.6</v>
      </c>
      <c r="V35" s="9">
        <f t="shared" si="117"/>
        <v>2110.4</v>
      </c>
      <c r="W35" s="9">
        <f t="shared" si="117"/>
        <v>2198.8000000000002</v>
      </c>
      <c r="X35" s="9">
        <f t="shared" si="117"/>
        <v>2142.1</v>
      </c>
      <c r="Y35" s="9">
        <f t="shared" ref="Y35:AC35" si="118">Y17+Y24</f>
        <v>2142.6999999999998</v>
      </c>
      <c r="Z35" s="9">
        <f t="shared" si="118"/>
        <v>2181.1</v>
      </c>
      <c r="AA35" s="9">
        <f t="shared" si="70"/>
        <v>2192.6</v>
      </c>
      <c r="AB35" s="9">
        <f t="shared" si="70"/>
        <v>2182</v>
      </c>
      <c r="AC35" s="9">
        <f t="shared" si="118"/>
        <v>2181.1</v>
      </c>
      <c r="AD35" s="9">
        <f t="shared" ref="AD35:AE35" si="119">AD17+AD24</f>
        <v>2149.1</v>
      </c>
      <c r="AE35" s="9">
        <f t="shared" si="119"/>
        <v>2221</v>
      </c>
      <c r="AF35" s="9">
        <f t="shared" ref="AF35:AG35" si="120">AF17+AF24</f>
        <v>2236.6</v>
      </c>
      <c r="AG35" s="9">
        <f t="shared" si="120"/>
        <v>2209.9</v>
      </c>
      <c r="AH35" s="9">
        <f t="shared" ref="AH35:AI35" si="121">AH17+AH24</f>
        <v>2211.2000000000003</v>
      </c>
      <c r="AI35" s="9">
        <f t="shared" si="121"/>
        <v>2223.6</v>
      </c>
      <c r="AJ35" s="9">
        <f t="shared" ref="AJ35:AK35" si="122">AJ17+AJ24</f>
        <v>2192</v>
      </c>
      <c r="AK35" s="9">
        <f t="shared" si="122"/>
        <v>2189.5</v>
      </c>
      <c r="AL35" s="9">
        <f t="shared" ref="AL35:AO35" si="123">AL17+AL24</f>
        <v>2248.3000000000002</v>
      </c>
      <c r="AM35" s="9">
        <f t="shared" si="123"/>
        <v>2186.3000000000002</v>
      </c>
      <c r="AN35" s="9">
        <f t="shared" si="123"/>
        <v>2261.6</v>
      </c>
      <c r="AO35" s="9">
        <f t="shared" si="123"/>
        <v>2147.1</v>
      </c>
      <c r="AP35" s="9">
        <f t="shared" ref="AP35:AS35" si="124">AP17+AP24</f>
        <v>2218.6</v>
      </c>
      <c r="AQ35" s="9">
        <f t="shared" si="124"/>
        <v>2201.8000000000002</v>
      </c>
      <c r="AR35" s="9">
        <f t="shared" si="124"/>
        <v>2218.4</v>
      </c>
      <c r="AS35" s="9">
        <f t="shared" si="124"/>
        <v>2192.9</v>
      </c>
      <c r="AT35" s="9">
        <f t="shared" ref="AT35:AU35" si="125">AT17+AT24</f>
        <v>2185</v>
      </c>
      <c r="AU35" s="9">
        <f t="shared" si="125"/>
        <v>2204.1999999999998</v>
      </c>
      <c r="AV35" s="9">
        <f t="shared" ref="AV35:BF35" si="126">AV17+AV24</f>
        <v>2176.6</v>
      </c>
      <c r="AW35" s="9">
        <f t="shared" si="126"/>
        <v>2231.4</v>
      </c>
      <c r="AX35" s="9">
        <f t="shared" si="126"/>
        <v>2210.4</v>
      </c>
      <c r="AY35" s="9">
        <f t="shared" si="126"/>
        <v>2202.1</v>
      </c>
      <c r="AZ35" s="9">
        <f t="shared" si="126"/>
        <v>2198.6</v>
      </c>
      <c r="BA35" s="9">
        <f t="shared" si="126"/>
        <v>2166.3000000000002</v>
      </c>
      <c r="BB35" s="9">
        <f t="shared" si="126"/>
        <v>2153.7999999999997</v>
      </c>
      <c r="BC35" s="9">
        <f t="shared" si="126"/>
        <v>2155.1999999999998</v>
      </c>
      <c r="BD35" s="9">
        <f t="shared" si="126"/>
        <v>2242.4</v>
      </c>
      <c r="BE35" s="9">
        <f t="shared" si="126"/>
        <v>2176.9</v>
      </c>
      <c r="BF35" s="9">
        <f t="shared" si="126"/>
        <v>2203.3000000000002</v>
      </c>
      <c r="BG35" s="9">
        <f t="shared" ref="BG35" si="127">BG17+BG24</f>
        <v>2222.1</v>
      </c>
    </row>
    <row r="36" spans="1:59" ht="15" thickBot="1" x14ac:dyDescent="0.35">
      <c r="A36" s="21"/>
      <c r="B36" s="49"/>
      <c r="C36" s="37"/>
      <c r="D36" s="5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</row>
    <row r="37" spans="1:59" ht="15.6" x14ac:dyDescent="0.3">
      <c r="A37" s="22" t="s">
        <v>57</v>
      </c>
      <c r="D37" s="9">
        <f t="shared" ref="D37:Q37" si="128">18.4*D20</f>
        <v>35228.639999999992</v>
      </c>
      <c r="E37" s="9">
        <f t="shared" si="128"/>
        <v>34549.68</v>
      </c>
      <c r="F37" s="9">
        <f t="shared" si="128"/>
        <v>35784.32</v>
      </c>
      <c r="G37" s="9">
        <f t="shared" si="128"/>
        <v>33806.32</v>
      </c>
      <c r="H37" s="9">
        <f t="shared" si="128"/>
        <v>34189.039999999994</v>
      </c>
      <c r="I37" s="9">
        <f t="shared" si="128"/>
        <v>34227.68</v>
      </c>
      <c r="J37" s="9">
        <f t="shared" si="128"/>
        <v>33885.439999999995</v>
      </c>
      <c r="K37" s="9">
        <f t="shared" si="128"/>
        <v>33981.119999999995</v>
      </c>
      <c r="L37" s="9">
        <f t="shared" si="128"/>
        <v>33653.599999999999</v>
      </c>
      <c r="M37" s="9">
        <f t="shared" si="128"/>
        <v>35626.079999999994</v>
      </c>
      <c r="N37" s="9">
        <f t="shared" si="128"/>
        <v>34233.199999999997</v>
      </c>
      <c r="O37" s="9">
        <f t="shared" si="128"/>
        <v>34108.080000000002</v>
      </c>
      <c r="P37" s="9">
        <f t="shared" si="128"/>
        <v>33059.279999999999</v>
      </c>
      <c r="Q37" s="9">
        <f t="shared" si="128"/>
        <v>33221.199999999997</v>
      </c>
      <c r="R37" s="9">
        <f t="shared" ref="R37:X37" si="129">18.4*R20</f>
        <v>35716.239999999998</v>
      </c>
      <c r="S37" s="9">
        <f t="shared" si="129"/>
        <v>33407.039999999994</v>
      </c>
      <c r="T37" s="9">
        <f t="shared" si="129"/>
        <v>33712.479999999996</v>
      </c>
      <c r="U37" s="9">
        <f t="shared" si="129"/>
        <v>35261.760000000002</v>
      </c>
      <c r="V37" s="9">
        <f t="shared" si="129"/>
        <v>32586.399999999998</v>
      </c>
      <c r="W37" s="9">
        <f t="shared" si="129"/>
        <v>34890.080000000002</v>
      </c>
      <c r="X37" s="9">
        <f t="shared" si="129"/>
        <v>33806.32</v>
      </c>
      <c r="Y37" s="9">
        <f t="shared" ref="Y37:AC37" si="130">18.4*Y20</f>
        <v>34097.039999999994</v>
      </c>
      <c r="Z37" s="9">
        <f t="shared" si="130"/>
        <v>33725.360000000001</v>
      </c>
      <c r="AA37" s="9">
        <f t="shared" ref="AA37" si="131">18.4*AA20</f>
        <v>34733.68</v>
      </c>
      <c r="AB37" s="9">
        <f t="shared" si="130"/>
        <v>32821.919999999998</v>
      </c>
      <c r="AC37" s="9">
        <f t="shared" si="130"/>
        <v>33164.159999999996</v>
      </c>
      <c r="AD37" s="9">
        <f t="shared" ref="AD37:AE37" si="132">18.4*AD20</f>
        <v>31747.360000000001</v>
      </c>
      <c r="AE37" s="9">
        <f t="shared" si="132"/>
        <v>35425.519999999997</v>
      </c>
      <c r="AF37" s="9">
        <f t="shared" ref="AF37:AG37" si="133">18.4*AF20</f>
        <v>34143.039999999994</v>
      </c>
      <c r="AG37" s="9">
        <f t="shared" si="133"/>
        <v>34036.32</v>
      </c>
      <c r="AH37" s="9">
        <f t="shared" ref="AH37:AI37" si="134">18.4*AH20</f>
        <v>33508.239999999998</v>
      </c>
      <c r="AI37" s="9">
        <f t="shared" si="134"/>
        <v>33898.32</v>
      </c>
      <c r="AJ37" s="9">
        <f t="shared" ref="AJ37:AK37" si="135">18.4*AJ20</f>
        <v>34288.399999999994</v>
      </c>
      <c r="AK37" s="9">
        <f t="shared" si="135"/>
        <v>33627.839999999997</v>
      </c>
      <c r="AL37" s="9">
        <f t="shared" ref="AL37:AO37" si="136">18.4*AL20</f>
        <v>34643.519999999997</v>
      </c>
      <c r="AM37" s="9">
        <f t="shared" si="136"/>
        <v>34759.439999999995</v>
      </c>
      <c r="AN37" s="9">
        <f t="shared" si="136"/>
        <v>35169.760000000002</v>
      </c>
      <c r="AO37" s="9">
        <f t="shared" si="136"/>
        <v>34076.799999999996</v>
      </c>
      <c r="AP37" s="9">
        <f t="shared" ref="AP37:AS37" si="137">18.4*AP20</f>
        <v>35661.039999999994</v>
      </c>
      <c r="AQ37" s="9">
        <f t="shared" si="137"/>
        <v>35000.479999999996</v>
      </c>
      <c r="AR37" s="9">
        <f t="shared" si="137"/>
        <v>35022.559999999998</v>
      </c>
      <c r="AS37" s="9">
        <f t="shared" si="137"/>
        <v>34674.799999999996</v>
      </c>
      <c r="AT37" s="9">
        <f t="shared" ref="AT37:AU37" si="138">18.4*AT20</f>
        <v>34652.719999999994</v>
      </c>
      <c r="AU37" s="9">
        <f t="shared" si="138"/>
        <v>35460.479999999996</v>
      </c>
      <c r="AV37" s="9">
        <f t="shared" ref="AV37:BF37" si="139">18.4*AV20</f>
        <v>34781.519999999997</v>
      </c>
      <c r="AW37" s="9">
        <f t="shared" si="139"/>
        <v>35320.639999999992</v>
      </c>
      <c r="AX37" s="9">
        <f t="shared" si="139"/>
        <v>34989.439999999995</v>
      </c>
      <c r="AY37" s="9">
        <f t="shared" si="139"/>
        <v>34128.32</v>
      </c>
      <c r="AZ37" s="9">
        <f t="shared" si="139"/>
        <v>33982.959999999999</v>
      </c>
      <c r="BA37" s="9">
        <f t="shared" si="139"/>
        <v>33732.719999999994</v>
      </c>
      <c r="BB37" s="9">
        <f t="shared" si="139"/>
        <v>33029.839999999997</v>
      </c>
      <c r="BC37" s="9">
        <f t="shared" si="139"/>
        <v>33681.199999999997</v>
      </c>
      <c r="BD37" s="9">
        <f t="shared" si="139"/>
        <v>35957.279999999999</v>
      </c>
      <c r="BE37" s="9">
        <f t="shared" si="139"/>
        <v>34741.039999999994</v>
      </c>
      <c r="BF37" s="9">
        <f t="shared" si="139"/>
        <v>34934.239999999998</v>
      </c>
      <c r="BG37" s="9">
        <f t="shared" ref="BG37" si="140">18.4*BG20</f>
        <v>36200.159999999996</v>
      </c>
    </row>
    <row r="38" spans="1:59" ht="15.6" x14ac:dyDescent="0.3">
      <c r="A38" s="22" t="s">
        <v>58</v>
      </c>
      <c r="D38" s="9">
        <f t="shared" ref="D38:Q38" si="141">18.4*D21</f>
        <v>27802.399999999998</v>
      </c>
      <c r="E38" s="9">
        <f t="shared" si="141"/>
        <v>28602.799999999999</v>
      </c>
      <c r="F38" s="9">
        <f t="shared" si="141"/>
        <v>26930.239999999998</v>
      </c>
      <c r="G38" s="9">
        <f t="shared" si="141"/>
        <v>24265.919999999998</v>
      </c>
      <c r="H38" s="9">
        <f t="shared" si="141"/>
        <v>26674.48</v>
      </c>
      <c r="I38" s="9">
        <f t="shared" si="141"/>
        <v>23279.68</v>
      </c>
      <c r="J38" s="9">
        <f t="shared" si="141"/>
        <v>25154.639999999996</v>
      </c>
      <c r="K38" s="9">
        <f t="shared" si="141"/>
        <v>23377.199999999997</v>
      </c>
      <c r="L38" s="9">
        <f t="shared" si="141"/>
        <v>25577.839999999997</v>
      </c>
      <c r="M38" s="9">
        <f t="shared" si="141"/>
        <v>25620.16</v>
      </c>
      <c r="N38" s="9">
        <f t="shared" si="141"/>
        <v>26540.16</v>
      </c>
      <c r="O38" s="9">
        <f t="shared" si="141"/>
        <v>26637.68</v>
      </c>
      <c r="P38" s="9">
        <f t="shared" si="141"/>
        <v>29535.68</v>
      </c>
      <c r="Q38" s="9">
        <f t="shared" si="141"/>
        <v>28100.48</v>
      </c>
      <c r="R38" s="9">
        <f t="shared" ref="R38:X38" si="142">18.4*R21</f>
        <v>25327.599999999999</v>
      </c>
      <c r="S38" s="9">
        <f t="shared" si="142"/>
        <v>29193.439999999995</v>
      </c>
      <c r="T38" s="9">
        <f t="shared" si="142"/>
        <v>28341.519999999997</v>
      </c>
      <c r="U38" s="9">
        <f t="shared" si="142"/>
        <v>28065.519999999997</v>
      </c>
      <c r="V38" s="9">
        <f t="shared" si="142"/>
        <v>28078.399999999998</v>
      </c>
      <c r="W38" s="9">
        <f t="shared" si="142"/>
        <v>27027.759999999998</v>
      </c>
      <c r="X38" s="9">
        <f t="shared" si="142"/>
        <v>25596.239999999998</v>
      </c>
      <c r="Y38" s="9">
        <f t="shared" ref="Y38:AC38" si="143">18.4*Y21</f>
        <v>29430.799999999999</v>
      </c>
      <c r="Z38" s="9">
        <f t="shared" si="143"/>
        <v>29497.039999999997</v>
      </c>
      <c r="AA38" s="9">
        <f t="shared" ref="AA38" si="144">18.4*AA21</f>
        <v>26725.999999999996</v>
      </c>
      <c r="AB38" s="9">
        <f t="shared" si="143"/>
        <v>32071.199999999997</v>
      </c>
      <c r="AC38" s="9">
        <f t="shared" si="143"/>
        <v>29204.48</v>
      </c>
      <c r="AD38" s="9">
        <f t="shared" ref="AD38:AE38" si="145">18.4*AD21</f>
        <v>30681.999999999996</v>
      </c>
      <c r="AE38" s="9">
        <f t="shared" si="145"/>
        <v>27011.199999999997</v>
      </c>
      <c r="AF38" s="9">
        <f t="shared" ref="AF38:AG38" si="146">18.4*AF21</f>
        <v>28232.959999999999</v>
      </c>
      <c r="AG38" s="9">
        <f t="shared" si="146"/>
        <v>27910.959999999999</v>
      </c>
      <c r="AH38" s="9">
        <f t="shared" ref="AH38:AI38" si="147">18.4*AH21</f>
        <v>29338.799999999999</v>
      </c>
      <c r="AI38" s="9">
        <f t="shared" si="147"/>
        <v>28545.759999999998</v>
      </c>
      <c r="AJ38" s="9">
        <f t="shared" ref="AJ38:AK38" si="148">18.4*AJ21</f>
        <v>27879.68</v>
      </c>
      <c r="AK38" s="9">
        <f t="shared" si="148"/>
        <v>29261.519999999997</v>
      </c>
      <c r="AL38" s="9">
        <f t="shared" ref="AL38:AO38" si="149">18.4*AL21</f>
        <v>29204.48</v>
      </c>
      <c r="AM38" s="9">
        <f t="shared" si="149"/>
        <v>28591.759999999998</v>
      </c>
      <c r="AN38" s="9">
        <f t="shared" si="149"/>
        <v>29723.360000000001</v>
      </c>
      <c r="AO38" s="9">
        <f t="shared" si="149"/>
        <v>28792.319999999996</v>
      </c>
      <c r="AP38" s="9">
        <f t="shared" ref="AP38:AS38" si="150">18.4*AP21</f>
        <v>28140.959999999999</v>
      </c>
      <c r="AQ38" s="9">
        <f t="shared" si="150"/>
        <v>28860.399999999998</v>
      </c>
      <c r="AR38" s="9">
        <f t="shared" si="150"/>
        <v>28621.199999999997</v>
      </c>
      <c r="AS38" s="9">
        <f t="shared" si="150"/>
        <v>29099.599999999999</v>
      </c>
      <c r="AT38" s="9">
        <f t="shared" ref="AT38:AU38" si="151">18.4*AT21</f>
        <v>28819.919999999998</v>
      </c>
      <c r="AU38" s="9">
        <f t="shared" si="151"/>
        <v>27767.439999999995</v>
      </c>
      <c r="AV38" s="9">
        <f t="shared" ref="AV38:BF38" si="152">18.4*AV21</f>
        <v>28102.319999999996</v>
      </c>
      <c r="AW38" s="9">
        <f t="shared" si="152"/>
        <v>29331.439999999995</v>
      </c>
      <c r="AX38" s="9">
        <f t="shared" si="152"/>
        <v>28832.799999999999</v>
      </c>
      <c r="AY38" s="9">
        <f t="shared" si="152"/>
        <v>28691.119999999995</v>
      </c>
      <c r="AZ38" s="9">
        <f t="shared" si="152"/>
        <v>28900.879999999997</v>
      </c>
      <c r="BA38" s="9">
        <f t="shared" si="152"/>
        <v>29351.68</v>
      </c>
      <c r="BB38" s="9">
        <f t="shared" si="152"/>
        <v>30071.119999999995</v>
      </c>
      <c r="BC38" s="9">
        <f t="shared" si="152"/>
        <v>28678.239999999994</v>
      </c>
      <c r="BD38" s="9">
        <f t="shared" si="152"/>
        <v>28812.559999999998</v>
      </c>
      <c r="BE38" s="9">
        <f t="shared" si="152"/>
        <v>28637.759999999998</v>
      </c>
      <c r="BF38" s="9">
        <f t="shared" si="152"/>
        <v>29274.399999999998</v>
      </c>
      <c r="BG38" s="9">
        <f t="shared" ref="BG38" si="153">18.4*BG21</f>
        <v>28179.599999999999</v>
      </c>
    </row>
    <row r="39" spans="1:59" ht="15.6" x14ac:dyDescent="0.3">
      <c r="A39" s="22" t="s">
        <v>59</v>
      </c>
      <c r="D39" s="9">
        <f t="shared" ref="D39:Q39" si="154">18.4*D22</f>
        <v>45523.439999999995</v>
      </c>
      <c r="E39" s="9">
        <f t="shared" si="154"/>
        <v>44975.12</v>
      </c>
      <c r="F39" s="9">
        <f t="shared" si="154"/>
        <v>46001.84</v>
      </c>
      <c r="G39" s="9">
        <f t="shared" si="154"/>
        <v>52392.159999999996</v>
      </c>
      <c r="H39" s="9">
        <f t="shared" si="154"/>
        <v>49887.92</v>
      </c>
      <c r="I39" s="9">
        <f t="shared" si="154"/>
        <v>53626.799999999996</v>
      </c>
      <c r="J39" s="9">
        <f t="shared" si="154"/>
        <v>50664.399999999994</v>
      </c>
      <c r="K39" s="9">
        <f t="shared" si="154"/>
        <v>50163.92</v>
      </c>
      <c r="L39" s="9">
        <f t="shared" si="154"/>
        <v>49718.639999999992</v>
      </c>
      <c r="M39" s="9">
        <f t="shared" si="154"/>
        <v>50130.799999999996</v>
      </c>
      <c r="N39" s="9">
        <f t="shared" si="154"/>
        <v>51496.079999999994</v>
      </c>
      <c r="O39" s="9">
        <f t="shared" si="154"/>
        <v>48769.2</v>
      </c>
      <c r="P39" s="9">
        <f t="shared" si="154"/>
        <v>52145.599999999999</v>
      </c>
      <c r="Q39" s="9">
        <f t="shared" si="154"/>
        <v>48890.639999999992</v>
      </c>
      <c r="R39" s="9">
        <f t="shared" ref="R39:X39" si="155">18.4*R22</f>
        <v>49315.679999999993</v>
      </c>
      <c r="S39" s="9">
        <f t="shared" si="155"/>
        <v>48033.2</v>
      </c>
      <c r="T39" s="9">
        <f t="shared" si="155"/>
        <v>48942.159999999996</v>
      </c>
      <c r="U39" s="9">
        <f t="shared" si="155"/>
        <v>49113.279999999992</v>
      </c>
      <c r="V39" s="9">
        <f t="shared" si="155"/>
        <v>49398.479999999996</v>
      </c>
      <c r="W39" s="9">
        <f t="shared" si="155"/>
        <v>48813.36</v>
      </c>
      <c r="X39" s="9">
        <f t="shared" si="155"/>
        <v>52278.079999999994</v>
      </c>
      <c r="Y39" s="9">
        <f t="shared" ref="Y39:AC39" si="156">18.4*Y22</f>
        <v>48329.439999999995</v>
      </c>
      <c r="Z39" s="9">
        <f t="shared" si="156"/>
        <v>46112.24</v>
      </c>
      <c r="AA39" s="9">
        <f t="shared" ref="AA39" si="157">18.4*AA22</f>
        <v>49464.72</v>
      </c>
      <c r="AB39" s="9">
        <f t="shared" si="156"/>
        <v>51426.159999999996</v>
      </c>
      <c r="AC39" s="9">
        <f t="shared" si="156"/>
        <v>50386.559999999998</v>
      </c>
      <c r="AD39" s="9">
        <f t="shared" ref="AD39:AE39" si="158">18.4*AD22</f>
        <v>49705.759999999995</v>
      </c>
      <c r="AE39" s="9">
        <f t="shared" si="158"/>
        <v>50473.039999999994</v>
      </c>
      <c r="AF39" s="9">
        <f t="shared" ref="AF39:AG39" si="159">18.4*AF22</f>
        <v>50828.159999999996</v>
      </c>
      <c r="AG39" s="9">
        <f t="shared" si="159"/>
        <v>51389.36</v>
      </c>
      <c r="AH39" s="9">
        <f t="shared" ref="AH39:AI39" si="160">18.4*AH22</f>
        <v>48327.6</v>
      </c>
      <c r="AI39" s="9">
        <f t="shared" si="160"/>
        <v>49633.999999999993</v>
      </c>
      <c r="AJ39" s="9">
        <f t="shared" ref="AJ39:AK39" si="161">18.4*AJ22</f>
        <v>49415.039999999994</v>
      </c>
      <c r="AK39" s="9">
        <f t="shared" si="161"/>
        <v>48977.120000000003</v>
      </c>
      <c r="AL39" s="9">
        <f t="shared" ref="AL39:AO39" si="162">18.4*AL22</f>
        <v>50095.839999999997</v>
      </c>
      <c r="AM39" s="9">
        <f t="shared" si="162"/>
        <v>50612.87999999999</v>
      </c>
      <c r="AN39" s="9">
        <f t="shared" si="162"/>
        <v>49012.079999999994</v>
      </c>
      <c r="AO39" s="9">
        <f t="shared" si="162"/>
        <v>50333.2</v>
      </c>
      <c r="AP39" s="9">
        <f t="shared" ref="AP39:AS39" si="163">18.4*AP22</f>
        <v>48962.399999999994</v>
      </c>
      <c r="AQ39" s="9">
        <f t="shared" si="163"/>
        <v>49538.32</v>
      </c>
      <c r="AR39" s="9">
        <f t="shared" si="163"/>
        <v>50222.799999999996</v>
      </c>
      <c r="AS39" s="9">
        <f t="shared" si="163"/>
        <v>49624.799999999996</v>
      </c>
      <c r="AT39" s="9">
        <f t="shared" ref="AT39:AU39" si="164">18.4*AT22</f>
        <v>50765.599999999999</v>
      </c>
      <c r="AU39" s="9">
        <f t="shared" si="164"/>
        <v>50233.84</v>
      </c>
      <c r="AV39" s="9">
        <f t="shared" ref="AV39:BF39" si="165">18.4*AV22</f>
        <v>50248.56</v>
      </c>
      <c r="AW39" s="9">
        <f t="shared" si="165"/>
        <v>49299.12</v>
      </c>
      <c r="AX39" s="9">
        <f t="shared" si="165"/>
        <v>51080.24</v>
      </c>
      <c r="AY39" s="9">
        <f t="shared" si="165"/>
        <v>50990.079999999994</v>
      </c>
      <c r="AZ39" s="9">
        <f t="shared" si="165"/>
        <v>51209.039999999994</v>
      </c>
      <c r="BA39" s="9">
        <f t="shared" si="165"/>
        <v>50456.479999999996</v>
      </c>
      <c r="BB39" s="9">
        <f t="shared" si="165"/>
        <v>49731.519999999997</v>
      </c>
      <c r="BC39" s="9">
        <f t="shared" si="165"/>
        <v>50894.399999999994</v>
      </c>
      <c r="BD39" s="9">
        <f t="shared" si="165"/>
        <v>47898.87999999999</v>
      </c>
      <c r="BE39" s="9">
        <f t="shared" si="165"/>
        <v>49783.039999999994</v>
      </c>
      <c r="BF39" s="9">
        <f t="shared" si="165"/>
        <v>48386.479999999996</v>
      </c>
      <c r="BG39" s="9">
        <f t="shared" ref="BG39" si="166">18.4*BG22</f>
        <v>48239.279999999992</v>
      </c>
    </row>
    <row r="40" spans="1:59" ht="15.6" x14ac:dyDescent="0.3">
      <c r="A40" s="22" t="s">
        <v>60</v>
      </c>
      <c r="D40" s="9">
        <f t="shared" ref="D40:Q40" si="167">18.4*D23</f>
        <v>21121.360000000001</v>
      </c>
      <c r="E40" s="9">
        <f t="shared" si="167"/>
        <v>22506.879999999997</v>
      </c>
      <c r="F40" s="9">
        <f t="shared" si="167"/>
        <v>25357.039999999997</v>
      </c>
      <c r="G40" s="9">
        <f t="shared" si="167"/>
        <v>25204.319999999996</v>
      </c>
      <c r="H40" s="9">
        <f t="shared" si="167"/>
        <v>21719.360000000001</v>
      </c>
      <c r="I40" s="9">
        <f t="shared" si="167"/>
        <v>23989.919999999998</v>
      </c>
      <c r="J40" s="9">
        <f t="shared" si="167"/>
        <v>26118.799999999999</v>
      </c>
      <c r="K40" s="9">
        <f t="shared" si="167"/>
        <v>29257.839999999997</v>
      </c>
      <c r="L40" s="9">
        <f t="shared" si="167"/>
        <v>27988.239999999998</v>
      </c>
      <c r="M40" s="9">
        <f t="shared" si="167"/>
        <v>24015.68</v>
      </c>
      <c r="N40" s="9">
        <f t="shared" si="167"/>
        <v>25027.68</v>
      </c>
      <c r="O40" s="9">
        <f t="shared" si="167"/>
        <v>28749.999999999996</v>
      </c>
      <c r="P40" s="9">
        <f t="shared" si="167"/>
        <v>30356.319999999996</v>
      </c>
      <c r="Q40" s="9">
        <f t="shared" si="167"/>
        <v>27944.079999999998</v>
      </c>
      <c r="R40" s="9">
        <f t="shared" ref="R40:X40" si="168">18.4*R23</f>
        <v>27533.759999999998</v>
      </c>
      <c r="S40" s="9">
        <f t="shared" si="168"/>
        <v>25910.879999999997</v>
      </c>
      <c r="T40" s="9">
        <f t="shared" si="168"/>
        <v>26271.519999999997</v>
      </c>
      <c r="U40" s="9">
        <f t="shared" si="168"/>
        <v>25690.079999999998</v>
      </c>
      <c r="V40" s="9">
        <f t="shared" si="168"/>
        <v>27861.279999999999</v>
      </c>
      <c r="W40" s="9">
        <f t="shared" si="168"/>
        <v>27338.719999999998</v>
      </c>
      <c r="X40" s="9">
        <f t="shared" si="168"/>
        <v>27143.68</v>
      </c>
      <c r="Y40" s="9">
        <f t="shared" ref="Y40:AC40" si="169">18.4*Y23</f>
        <v>29395.839999999997</v>
      </c>
      <c r="Z40" s="9">
        <f t="shared" si="169"/>
        <v>29601.919999999998</v>
      </c>
      <c r="AA40" s="9">
        <f t="shared" ref="AA40" si="170">18.4*AA23</f>
        <v>27520.879999999997</v>
      </c>
      <c r="AB40" s="9">
        <f t="shared" si="169"/>
        <v>30413.360000000001</v>
      </c>
      <c r="AC40" s="9">
        <f t="shared" si="169"/>
        <v>30106.079999999998</v>
      </c>
      <c r="AD40" s="9">
        <f t="shared" ref="AD40:AE40" si="171">18.4*AD23</f>
        <v>30888.079999999998</v>
      </c>
      <c r="AE40" s="9">
        <f t="shared" si="171"/>
        <v>29000.239999999994</v>
      </c>
      <c r="AF40" s="9">
        <f t="shared" ref="AF40:AG40" si="172">18.4*AF23</f>
        <v>29314.879999999997</v>
      </c>
      <c r="AG40" s="9">
        <f t="shared" si="172"/>
        <v>29382.959999999999</v>
      </c>
      <c r="AH40" s="9">
        <f t="shared" ref="AH40:AI40" si="173">18.4*AH23</f>
        <v>29485.999999999996</v>
      </c>
      <c r="AI40" s="9">
        <f t="shared" si="173"/>
        <v>28124.399999999998</v>
      </c>
      <c r="AJ40" s="9">
        <f t="shared" ref="AJ40:AK40" si="174">18.4*AJ23</f>
        <v>28542.079999999998</v>
      </c>
      <c r="AK40" s="9">
        <f t="shared" si="174"/>
        <v>28635.919999999998</v>
      </c>
      <c r="AL40" s="9">
        <f t="shared" ref="AL40:AO40" si="175">18.4*AL23</f>
        <v>29357.199999999997</v>
      </c>
      <c r="AM40" s="9">
        <f t="shared" si="175"/>
        <v>29500.719999999998</v>
      </c>
      <c r="AN40" s="9">
        <f t="shared" si="175"/>
        <v>27507.999999999996</v>
      </c>
      <c r="AO40" s="9">
        <f t="shared" si="175"/>
        <v>29885.279999999999</v>
      </c>
      <c r="AP40" s="9">
        <f t="shared" ref="AP40:AS40" si="176">18.4*AP23</f>
        <v>29500.719999999998</v>
      </c>
      <c r="AQ40" s="9">
        <f t="shared" si="176"/>
        <v>29099.599999999999</v>
      </c>
      <c r="AR40" s="9">
        <f t="shared" si="176"/>
        <v>28814.399999999998</v>
      </c>
      <c r="AS40" s="9">
        <f t="shared" si="176"/>
        <v>28943.199999999997</v>
      </c>
      <c r="AT40" s="9">
        <f t="shared" ref="AT40:AU40" si="177">18.4*AT23</f>
        <v>28667.199999999997</v>
      </c>
      <c r="AU40" s="9">
        <f t="shared" si="177"/>
        <v>29603.759999999998</v>
      </c>
      <c r="AV40" s="9">
        <f t="shared" ref="AV40:BF40" si="178">18.4*AV23</f>
        <v>29577.999999999996</v>
      </c>
      <c r="AW40" s="9">
        <f t="shared" si="178"/>
        <v>28803.360000000001</v>
      </c>
      <c r="AX40" s="9">
        <f t="shared" si="178"/>
        <v>27690.16</v>
      </c>
      <c r="AY40" s="9">
        <f t="shared" si="178"/>
        <v>28507.119999999995</v>
      </c>
      <c r="AZ40" s="9">
        <f t="shared" si="178"/>
        <v>28645.119999999995</v>
      </c>
      <c r="BA40" s="9">
        <f t="shared" si="178"/>
        <v>28692.959999999999</v>
      </c>
      <c r="BB40" s="9">
        <f t="shared" si="178"/>
        <v>29594.559999999998</v>
      </c>
      <c r="BC40" s="9">
        <f t="shared" si="178"/>
        <v>29669.999999999996</v>
      </c>
      <c r="BD40" s="9">
        <f t="shared" si="178"/>
        <v>29270.719999999998</v>
      </c>
      <c r="BE40" s="9">
        <f t="shared" si="178"/>
        <v>29635.039999999997</v>
      </c>
      <c r="BF40" s="9">
        <f t="shared" si="178"/>
        <v>29500.719999999998</v>
      </c>
      <c r="BG40" s="9">
        <f t="shared" ref="BG40" si="179">18.4*BG23</f>
        <v>29362.719999999998</v>
      </c>
    </row>
    <row r="41" spans="1:59" ht="16.2" thickBot="1" x14ac:dyDescent="0.35">
      <c r="A41" s="22" t="s">
        <v>61</v>
      </c>
      <c r="D41" s="9">
        <f t="shared" ref="D41:Q41" si="180">18.4*D24</f>
        <v>30479.599999999999</v>
      </c>
      <c r="E41" s="9">
        <f t="shared" si="180"/>
        <v>29300.16</v>
      </c>
      <c r="F41" s="9">
        <f t="shared" si="180"/>
        <v>32558.799999999999</v>
      </c>
      <c r="G41" s="9">
        <f t="shared" si="180"/>
        <v>30050.879999999997</v>
      </c>
      <c r="H41" s="9">
        <f t="shared" si="180"/>
        <v>33029.839999999997</v>
      </c>
      <c r="I41" s="9">
        <f t="shared" si="180"/>
        <v>30109.759999999998</v>
      </c>
      <c r="J41" s="9">
        <f t="shared" si="180"/>
        <v>29565.119999999995</v>
      </c>
      <c r="K41" s="9">
        <f t="shared" si="180"/>
        <v>29386.639999999996</v>
      </c>
      <c r="L41" s="9">
        <f t="shared" si="180"/>
        <v>31175.119999999995</v>
      </c>
      <c r="M41" s="9">
        <f t="shared" si="180"/>
        <v>32549.599999999999</v>
      </c>
      <c r="N41" s="9">
        <f t="shared" si="180"/>
        <v>30461.199999999997</v>
      </c>
      <c r="O41" s="9">
        <f t="shared" si="180"/>
        <v>29857.68</v>
      </c>
      <c r="P41" s="9">
        <f t="shared" si="180"/>
        <v>30359.999999999996</v>
      </c>
      <c r="Q41" s="9">
        <f t="shared" si="180"/>
        <v>29892.639999999996</v>
      </c>
      <c r="R41" s="9">
        <f t="shared" ref="R41:X41" si="181">18.4*R24</f>
        <v>30361.839999999997</v>
      </c>
      <c r="S41" s="9">
        <f t="shared" si="181"/>
        <v>31408.799999999999</v>
      </c>
      <c r="T41" s="9">
        <f t="shared" si="181"/>
        <v>30878.879999999997</v>
      </c>
      <c r="U41" s="9">
        <f t="shared" si="181"/>
        <v>31002.16</v>
      </c>
      <c r="V41" s="9">
        <f t="shared" si="181"/>
        <v>29625.839999999997</v>
      </c>
      <c r="W41" s="9">
        <f t="shared" si="181"/>
        <v>34176.159999999996</v>
      </c>
      <c r="X41" s="9">
        <f t="shared" si="181"/>
        <v>33248.799999999996</v>
      </c>
      <c r="Y41" s="9">
        <f t="shared" ref="Y41:AC41" si="182">18.4*Y24</f>
        <v>33471.439999999995</v>
      </c>
      <c r="Z41" s="9">
        <f t="shared" si="182"/>
        <v>33456.719999999994</v>
      </c>
      <c r="AA41" s="9">
        <f t="shared" ref="AA41" si="183">18.4*AA24</f>
        <v>32875.279999999999</v>
      </c>
      <c r="AB41" s="9">
        <f t="shared" si="182"/>
        <v>32694.959999999999</v>
      </c>
      <c r="AC41" s="9">
        <f t="shared" si="182"/>
        <v>33589.199999999997</v>
      </c>
      <c r="AD41" s="9">
        <f t="shared" ref="AD41:AE41" si="184">18.4*AD24</f>
        <v>33629.68</v>
      </c>
      <c r="AE41" s="9">
        <f t="shared" si="184"/>
        <v>34958.159999999996</v>
      </c>
      <c r="AF41" s="9">
        <f t="shared" ref="AF41:AG41" si="185">18.4*AF24</f>
        <v>34777.839999999997</v>
      </c>
      <c r="AG41" s="9">
        <f t="shared" si="185"/>
        <v>34450.32</v>
      </c>
      <c r="AH41" s="9">
        <f t="shared" ref="AH41:AI41" si="186">18.4*AH24</f>
        <v>34249.760000000002</v>
      </c>
      <c r="AI41" s="9">
        <f t="shared" si="186"/>
        <v>34430.080000000002</v>
      </c>
      <c r="AJ41" s="9">
        <f t="shared" ref="AJ41:AK41" si="187">18.4*AJ24</f>
        <v>34216.639999999992</v>
      </c>
      <c r="AK41" s="9">
        <f t="shared" si="187"/>
        <v>34409.839999999997</v>
      </c>
      <c r="AL41" s="9">
        <f t="shared" ref="AL41:AO41" si="188">18.4*AL24</f>
        <v>34899.279999999999</v>
      </c>
      <c r="AM41" s="9">
        <f t="shared" si="188"/>
        <v>33362.879999999997</v>
      </c>
      <c r="AN41" s="9">
        <f t="shared" si="188"/>
        <v>35633.439999999995</v>
      </c>
      <c r="AO41" s="9">
        <f t="shared" si="188"/>
        <v>33414.399999999994</v>
      </c>
      <c r="AP41" s="9">
        <f t="shared" ref="AP41:AS41" si="189">18.4*AP24</f>
        <v>34700.559999999998</v>
      </c>
      <c r="AQ41" s="9">
        <f t="shared" si="189"/>
        <v>34132</v>
      </c>
      <c r="AR41" s="9">
        <f t="shared" si="189"/>
        <v>34279.199999999997</v>
      </c>
      <c r="AS41" s="9">
        <f t="shared" si="189"/>
        <v>34371.199999999997</v>
      </c>
      <c r="AT41" s="9">
        <f t="shared" ref="AT41:AU41" si="190">18.4*AT24</f>
        <v>33874.399999999994</v>
      </c>
      <c r="AU41" s="9">
        <f t="shared" si="190"/>
        <v>33427.279999999999</v>
      </c>
      <c r="AV41" s="9">
        <f t="shared" ref="AV41:BF41" si="191">18.4*AV24</f>
        <v>33922.239999999998</v>
      </c>
      <c r="AW41" s="9">
        <f t="shared" si="191"/>
        <v>33898.32</v>
      </c>
      <c r="AX41" s="9">
        <f t="shared" si="191"/>
        <v>33795.279999999999</v>
      </c>
      <c r="AY41" s="9">
        <f t="shared" si="191"/>
        <v>34358.32</v>
      </c>
      <c r="AZ41" s="9">
        <f t="shared" si="191"/>
        <v>33305.839999999997</v>
      </c>
      <c r="BA41" s="9">
        <f t="shared" si="191"/>
        <v>34034.479999999996</v>
      </c>
      <c r="BB41" s="9">
        <f t="shared" si="191"/>
        <v>33765.839999999997</v>
      </c>
      <c r="BC41" s="9">
        <f t="shared" si="191"/>
        <v>33497.199999999997</v>
      </c>
      <c r="BD41" s="9">
        <f t="shared" si="191"/>
        <v>34470.559999999998</v>
      </c>
      <c r="BE41" s="9">
        <f t="shared" si="191"/>
        <v>33808.159999999996</v>
      </c>
      <c r="BF41" s="9">
        <f t="shared" si="191"/>
        <v>34218.479999999996</v>
      </c>
      <c r="BG41" s="9">
        <f t="shared" ref="BG41" si="192">18.4*BG24</f>
        <v>34529.439999999995</v>
      </c>
    </row>
    <row r="42" spans="1:59" ht="15" thickBot="1" x14ac:dyDescent="0.35">
      <c r="A42" s="53"/>
      <c r="B42" s="49"/>
      <c r="C42" s="37"/>
      <c r="D42" s="52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</row>
    <row r="43" spans="1:59" ht="15.6" x14ac:dyDescent="0.3">
      <c r="A43" s="22" t="s">
        <v>62</v>
      </c>
      <c r="B43" s="54">
        <v>37.301915883995484</v>
      </c>
      <c r="C43" s="55">
        <v>38.194809796359692</v>
      </c>
      <c r="D43" s="11">
        <f t="shared" ref="D43:Q43" si="193">(D37/D31-8.1)/20*100</f>
        <v>38.212664223791215</v>
      </c>
      <c r="E43" s="11">
        <f t="shared" si="193"/>
        <v>39.483516992314108</v>
      </c>
      <c r="F43" s="11">
        <f t="shared" si="193"/>
        <v>35.802443601006438</v>
      </c>
      <c r="G43" s="11">
        <f t="shared" si="193"/>
        <v>33.116828535342542</v>
      </c>
      <c r="H43" s="11">
        <f t="shared" si="193"/>
        <v>34.574747474747461</v>
      </c>
      <c r="I43" s="11">
        <f t="shared" si="193"/>
        <v>33.374816541483213</v>
      </c>
      <c r="J43" s="11">
        <f t="shared" si="193"/>
        <v>33.774341326552978</v>
      </c>
      <c r="K43" s="11">
        <f t="shared" si="193"/>
        <v>32.274060907182935</v>
      </c>
      <c r="L43" s="11">
        <f t="shared" si="193"/>
        <v>32.491801500889252</v>
      </c>
      <c r="M43" s="11">
        <f t="shared" si="193"/>
        <v>37.41549295774648</v>
      </c>
      <c r="N43" s="11">
        <f t="shared" si="193"/>
        <v>35.186933451249168</v>
      </c>
      <c r="O43" s="11">
        <f t="shared" si="193"/>
        <v>34.714077798359355</v>
      </c>
      <c r="P43" s="11">
        <f t="shared" si="193"/>
        <v>37.672806810120598</v>
      </c>
      <c r="Q43" s="11">
        <f t="shared" si="193"/>
        <v>33.223314544405483</v>
      </c>
      <c r="R43" s="11">
        <f t="shared" ref="R43:X43" si="194">(R37/R31-8.1)/20*100</f>
        <v>36.042454245424544</v>
      </c>
      <c r="S43" s="11">
        <f t="shared" si="194"/>
        <v>34.615887934523535</v>
      </c>
      <c r="T43" s="11">
        <f t="shared" si="194"/>
        <v>34.453266041175674</v>
      </c>
      <c r="U43" s="11">
        <f t="shared" si="194"/>
        <v>38.283144912641319</v>
      </c>
      <c r="V43" s="11">
        <f t="shared" si="194"/>
        <v>32.557124921531702</v>
      </c>
      <c r="W43" s="11">
        <f t="shared" si="194"/>
        <v>37.213114754098356</v>
      </c>
      <c r="X43" s="11">
        <f t="shared" si="194"/>
        <v>35.619787444834728</v>
      </c>
      <c r="Y43" s="11">
        <f t="shared" ref="Y43:AC43" si="195">(Y37/Y31-8.1)/20*100</f>
        <v>36.635643833137266</v>
      </c>
      <c r="Z43" s="11">
        <f t="shared" si="195"/>
        <v>35.595126353790619</v>
      </c>
      <c r="AA43" s="11">
        <f t="shared" ref="AA43" si="196">(AA37/AA31-8.1)/20*100</f>
        <v>37.448114901256737</v>
      </c>
      <c r="AB43" s="11">
        <f t="shared" si="195"/>
        <v>33.396613832853021</v>
      </c>
      <c r="AC43" s="11">
        <f t="shared" si="195"/>
        <v>33.872443487621098</v>
      </c>
      <c r="AD43" s="11">
        <f t="shared" ref="AD43:AE43" si="197">(AD37/AD31-8.1)/20*100</f>
        <v>32.485792450227599</v>
      </c>
      <c r="AE43" s="11">
        <f t="shared" si="197"/>
        <v>38.360068563287477</v>
      </c>
      <c r="AF43" s="11">
        <f t="shared" ref="AF43:AG43" si="198">(AF37/AF31-8.1)/20*100</f>
        <v>35.899731483553353</v>
      </c>
      <c r="AG43" s="11">
        <f t="shared" si="198"/>
        <v>36.735908141962419</v>
      </c>
      <c r="AH43" s="11">
        <f t="shared" ref="AH43:AI43" si="199">(AH37/AH31-8.1)/20*100</f>
        <v>35.832042462071165</v>
      </c>
      <c r="AI43" s="11">
        <f t="shared" si="199"/>
        <v>36.773456733837875</v>
      </c>
      <c r="AJ43" s="11">
        <f t="shared" ref="AJ43:AK43" si="200">(AJ37/AJ31-8.1)/20*100</f>
        <v>37.346796530899503</v>
      </c>
      <c r="AK43" s="11">
        <f t="shared" si="200"/>
        <v>37.227071005917161</v>
      </c>
      <c r="AL43" s="11">
        <f t="shared" ref="AL43:AO43" si="201">(AL37/AL31-8.1)/20*100</f>
        <v>37.298158544801254</v>
      </c>
      <c r="AM43" s="11">
        <f t="shared" si="201"/>
        <v>37.66731132499774</v>
      </c>
      <c r="AN43" s="11">
        <f t="shared" si="201"/>
        <v>38.204202658550777</v>
      </c>
      <c r="AO43" s="11">
        <f t="shared" si="201"/>
        <v>37.636292763459593</v>
      </c>
      <c r="AP43" s="11">
        <f t="shared" ref="AP43:AS43" si="202">(AP37/AP31-8.1)/20*100</f>
        <v>38.176785950668489</v>
      </c>
      <c r="AQ43" s="11">
        <f t="shared" si="202"/>
        <v>38.099775432292823</v>
      </c>
      <c r="AR43" s="11">
        <f t="shared" si="202"/>
        <v>37.66139975004463</v>
      </c>
      <c r="AS43" s="11">
        <f t="shared" si="202"/>
        <v>38.424750762507394</v>
      </c>
      <c r="AT43" s="11">
        <f t="shared" ref="AT43:AU43" si="203">(AT37/AT31-8.1)/20*100</f>
        <v>38.245443803117738</v>
      </c>
      <c r="AU43" s="11">
        <f t="shared" si="203"/>
        <v>37.88302387267904</v>
      </c>
      <c r="AV43" s="11">
        <f t="shared" ref="AV43:BF43" si="204">(AV37/AV31-8.1)/20*100</f>
        <v>37.151187712091435</v>
      </c>
      <c r="AW43" s="11">
        <f t="shared" si="204"/>
        <v>36.572182944924485</v>
      </c>
      <c r="AX43" s="11">
        <f t="shared" si="204"/>
        <v>38.963662790697668</v>
      </c>
      <c r="AY43" s="11">
        <f t="shared" si="204"/>
        <v>36.969287692377542</v>
      </c>
      <c r="AZ43" s="11">
        <f t="shared" si="204"/>
        <v>36.938155136268335</v>
      </c>
      <c r="BA43" s="11">
        <f t="shared" si="204"/>
        <v>37.200096742986126</v>
      </c>
      <c r="BB43" s="11">
        <f t="shared" si="204"/>
        <v>35.623162018898356</v>
      </c>
      <c r="BC43" s="11">
        <f t="shared" si="204"/>
        <v>36.03426649700053</v>
      </c>
      <c r="BD43" s="11">
        <f t="shared" si="204"/>
        <v>39.309295512052209</v>
      </c>
      <c r="BE43" s="11">
        <f t="shared" si="204"/>
        <v>37.794960786081305</v>
      </c>
      <c r="BF43" s="11">
        <f t="shared" si="204"/>
        <v>37.965118368447058</v>
      </c>
      <c r="BG43" s="11">
        <f t="shared" ref="BG43" si="205">(BG37/BG31-8.1)/20*100</f>
        <v>38.872390808630051</v>
      </c>
    </row>
    <row r="44" spans="1:59" ht="15.6" x14ac:dyDescent="0.3">
      <c r="A44" s="22" t="s">
        <v>63</v>
      </c>
      <c r="B44" s="28">
        <v>38.777920904125502</v>
      </c>
      <c r="C44" s="29">
        <v>37.81021541076182</v>
      </c>
      <c r="D44" s="11">
        <f t="shared" ref="D44:Q44" si="206">(D38/D32-8.1)/20*100</f>
        <v>40.769804150833075</v>
      </c>
      <c r="E44" s="11">
        <f t="shared" si="206"/>
        <v>39.790815180776995</v>
      </c>
      <c r="F44" s="11">
        <f t="shared" si="206"/>
        <v>40.576107899807326</v>
      </c>
      <c r="G44" s="11">
        <f t="shared" si="206"/>
        <v>36.237461261147295</v>
      </c>
      <c r="H44" s="11">
        <f t="shared" si="206"/>
        <v>36.853207284537753</v>
      </c>
      <c r="I44" s="11">
        <f t="shared" si="206"/>
        <v>40.523527773910615</v>
      </c>
      <c r="J44" s="11">
        <f t="shared" si="206"/>
        <v>39.361070544161528</v>
      </c>
      <c r="K44" s="11">
        <f t="shared" si="206"/>
        <v>35.134787110133281</v>
      </c>
      <c r="L44" s="11">
        <f t="shared" si="206"/>
        <v>36.14001917660454</v>
      </c>
      <c r="M44" s="11">
        <f t="shared" si="206"/>
        <v>34.312124043683923</v>
      </c>
      <c r="N44" s="11">
        <f t="shared" si="206"/>
        <v>35.60736407432897</v>
      </c>
      <c r="O44" s="11">
        <f t="shared" si="206"/>
        <v>35.672948241349737</v>
      </c>
      <c r="P44" s="11">
        <f t="shared" si="206"/>
        <v>36.798298874640153</v>
      </c>
      <c r="Q44" s="11">
        <f t="shared" si="206"/>
        <v>37.826680789385655</v>
      </c>
      <c r="R44" s="11">
        <f t="shared" ref="R44:X44" si="207">(R38/R32-8.1)/20*100</f>
        <v>35.276687410244129</v>
      </c>
      <c r="S44" s="11">
        <f t="shared" si="207"/>
        <v>39.250423427853349</v>
      </c>
      <c r="T44" s="11">
        <f t="shared" si="207"/>
        <v>39.146807553956826</v>
      </c>
      <c r="U44" s="11">
        <f t="shared" si="207"/>
        <v>39.889321723189724</v>
      </c>
      <c r="V44" s="11">
        <f t="shared" si="207"/>
        <v>40.459575572342999</v>
      </c>
      <c r="W44" s="11">
        <f t="shared" si="207"/>
        <v>36.598813327247825</v>
      </c>
      <c r="X44" s="11">
        <f t="shared" si="207"/>
        <v>36.458027660853872</v>
      </c>
      <c r="Y44" s="11">
        <f t="shared" ref="Y44:AC44" si="208">(Y38/Y32-8.1)/20*100</f>
        <v>39.431558935361217</v>
      </c>
      <c r="Z44" s="11">
        <f t="shared" si="208"/>
        <v>38.200747065101382</v>
      </c>
      <c r="AA44" s="11">
        <f t="shared" ref="AA44" si="209">(AA38/AA32-8.1)/20*100</f>
        <v>33.251310778740539</v>
      </c>
      <c r="AB44" s="11">
        <f t="shared" si="208"/>
        <v>44.156319290465632</v>
      </c>
      <c r="AC44" s="11">
        <f t="shared" si="208"/>
        <v>43.847504621072083</v>
      </c>
      <c r="AD44" s="11">
        <f t="shared" ref="AD44:AE44" si="210">(AD38/AD32-8.1)/20*100</f>
        <v>44.34597090868867</v>
      </c>
      <c r="AE44" s="11">
        <f t="shared" si="210"/>
        <v>37.838747099767971</v>
      </c>
      <c r="AF44" s="11">
        <f t="shared" ref="AF44:AG44" si="211">(AF38/AF32-8.1)/20*100</f>
        <v>38.832808811959083</v>
      </c>
      <c r="AG44" s="11">
        <f t="shared" si="211"/>
        <v>37.555148498238154</v>
      </c>
      <c r="AH44" s="11">
        <f t="shared" ref="AH44:AI44" si="212">(AH38/AH32-8.1)/20*100</f>
        <v>38.152082998230661</v>
      </c>
      <c r="AI44" s="11">
        <f t="shared" si="212"/>
        <v>37.485356791607465</v>
      </c>
      <c r="AJ44" s="11">
        <f t="shared" ref="AJ44:AK44" si="213">(AJ38/AJ32-8.1)/20*100</f>
        <v>36.891960914945592</v>
      </c>
      <c r="AK44" s="11">
        <f t="shared" si="213"/>
        <v>37.389480408858589</v>
      </c>
      <c r="AL44" s="11">
        <f t="shared" ref="AL44:AO44" si="214">(AL38/AL32-8.1)/20*100</f>
        <v>37.490920258505575</v>
      </c>
      <c r="AM44" s="11">
        <f t="shared" si="214"/>
        <v>37.449182115594326</v>
      </c>
      <c r="AN44" s="11">
        <f t="shared" si="214"/>
        <v>39.272839506172843</v>
      </c>
      <c r="AO44" s="11">
        <f t="shared" si="214"/>
        <v>36.87790916420316</v>
      </c>
      <c r="AP44" s="11">
        <f t="shared" ref="AP44:AS44" si="215">(AP38/AP32-8.1)/20*100</f>
        <v>37.474397339983376</v>
      </c>
      <c r="AQ44" s="11">
        <f t="shared" si="215"/>
        <v>38.37510248701831</v>
      </c>
      <c r="AR44" s="11">
        <f t="shared" si="215"/>
        <v>37.879888268156421</v>
      </c>
      <c r="AS44" s="11">
        <f t="shared" si="215"/>
        <v>36.552375152253347</v>
      </c>
      <c r="AT44" s="11">
        <f t="shared" ref="AT44:AU44" si="216">(AT38/AT32-8.1)/20*100</f>
        <v>37.887423162704671</v>
      </c>
      <c r="AU44" s="11">
        <f t="shared" si="216"/>
        <v>37.731363047275593</v>
      </c>
      <c r="AV44" s="11">
        <f t="shared" ref="AV44:BF44" si="217">(AV38/AV32-8.1)/20*100</f>
        <v>38.244451916610615</v>
      </c>
      <c r="AW44" s="11">
        <f t="shared" si="217"/>
        <v>40.998860794665177</v>
      </c>
      <c r="AX44" s="11">
        <f t="shared" si="217"/>
        <v>37.493940705474998</v>
      </c>
      <c r="AY44" s="11">
        <f t="shared" si="217"/>
        <v>37.014237855946391</v>
      </c>
      <c r="AZ44" s="11">
        <f t="shared" si="217"/>
        <v>37.783980714014831</v>
      </c>
      <c r="BA44" s="11">
        <f t="shared" si="217"/>
        <v>38.292225920755932</v>
      </c>
      <c r="BB44" s="11">
        <f t="shared" si="217"/>
        <v>39.06164673510424</v>
      </c>
      <c r="BC44" s="11">
        <f t="shared" si="217"/>
        <v>38.468608877629684</v>
      </c>
      <c r="BD44" s="11">
        <f t="shared" si="217"/>
        <v>37.053186907838068</v>
      </c>
      <c r="BE44" s="11">
        <f t="shared" si="217"/>
        <v>38.719253112033194</v>
      </c>
      <c r="BF44" s="11">
        <f t="shared" si="217"/>
        <v>39.288498228400108</v>
      </c>
      <c r="BG44" s="11">
        <f t="shared" ref="BG44" si="218">(BG38/BG32-8.1)/20*100</f>
        <v>38.496411751513797</v>
      </c>
    </row>
    <row r="45" spans="1:59" ht="15.6" x14ac:dyDescent="0.3">
      <c r="A45" s="22" t="s">
        <v>64</v>
      </c>
      <c r="B45" s="28">
        <v>36.838806681283806</v>
      </c>
      <c r="C45" s="29">
        <v>37.715631034205423</v>
      </c>
      <c r="D45" s="11">
        <f t="shared" ref="D45:Q45" si="219">(D39/D33-8.1)/20*100</f>
        <v>33.519446522064314</v>
      </c>
      <c r="E45" s="11">
        <f t="shared" si="219"/>
        <v>32.315335297736617</v>
      </c>
      <c r="F45" s="11">
        <f t="shared" si="219"/>
        <v>31.51064462602924</v>
      </c>
      <c r="G45" s="11">
        <f t="shared" si="219"/>
        <v>36.628960075373918</v>
      </c>
      <c r="H45" s="11">
        <f t="shared" si="219"/>
        <v>34.784338876648654</v>
      </c>
      <c r="I45" s="11">
        <f t="shared" si="219"/>
        <v>34.871468728039353</v>
      </c>
      <c r="J45" s="11">
        <f t="shared" si="219"/>
        <v>34.105212781622726</v>
      </c>
      <c r="K45" s="11">
        <f t="shared" si="219"/>
        <v>33.307374275372972</v>
      </c>
      <c r="L45" s="11">
        <f t="shared" si="219"/>
        <v>33.483869527692619</v>
      </c>
      <c r="M45" s="11">
        <f t="shared" si="219"/>
        <v>36.140880599296743</v>
      </c>
      <c r="N45" s="11">
        <f t="shared" si="219"/>
        <v>36.921415040442604</v>
      </c>
      <c r="O45" s="11">
        <f t="shared" si="219"/>
        <v>33.67368821292775</v>
      </c>
      <c r="P45" s="11">
        <f t="shared" si="219"/>
        <v>38.388956127080185</v>
      </c>
      <c r="Q45" s="11">
        <f t="shared" si="219"/>
        <v>34.99278898119266</v>
      </c>
      <c r="R45" s="11">
        <f t="shared" ref="R45:X45" si="220">(R39/R33-8.1)/20*100</f>
        <v>34.488869290189164</v>
      </c>
      <c r="S45" s="11">
        <f t="shared" si="220"/>
        <v>33.340430438124521</v>
      </c>
      <c r="T45" s="11">
        <f t="shared" si="220"/>
        <v>34.566965244332636</v>
      </c>
      <c r="U45" s="11">
        <f t="shared" si="220"/>
        <v>33.774514548424165</v>
      </c>
      <c r="V45" s="11">
        <f t="shared" si="220"/>
        <v>33.500778979536811</v>
      </c>
      <c r="W45" s="11">
        <f t="shared" si="220"/>
        <v>32.729559842779565</v>
      </c>
      <c r="X45" s="11">
        <f t="shared" si="220"/>
        <v>34.26414392769292</v>
      </c>
      <c r="Y45" s="11">
        <f t="shared" ref="Y45:AC45" si="221">(Y39/Y33-8.1)/20*100</f>
        <v>34.906353367034882</v>
      </c>
      <c r="Z45" s="11">
        <f t="shared" si="221"/>
        <v>32.298838053740013</v>
      </c>
      <c r="AA45" s="11">
        <f t="shared" ref="AA45" si="222">(AA39/AA33-8.1)/20*100</f>
        <v>35.405717705551979</v>
      </c>
      <c r="AB45" s="11">
        <f t="shared" si="221"/>
        <v>38.376898064357796</v>
      </c>
      <c r="AC45" s="11">
        <f t="shared" si="221"/>
        <v>36.841683551298573</v>
      </c>
      <c r="AD45" s="11">
        <f t="shared" ref="AD45:AE45" si="223">(AD39/AD33-8.1)/20*100</f>
        <v>36.291743912989737</v>
      </c>
      <c r="AE45" s="11">
        <f t="shared" si="223"/>
        <v>36.297784607893853</v>
      </c>
      <c r="AF45" s="11">
        <f t="shared" ref="AF45:AG45" si="224">(AF39/AF33-8.1)/20*100</f>
        <v>38.366931479642489</v>
      </c>
      <c r="AG45" s="11">
        <f t="shared" si="224"/>
        <v>37.983399004245697</v>
      </c>
      <c r="AH45" s="11">
        <f t="shared" ref="AH45:AI45" si="225">(AH39/AH33-8.1)/20*100</f>
        <v>36.271405877680692</v>
      </c>
      <c r="AI45" s="11">
        <f t="shared" si="225"/>
        <v>36.20220985937258</v>
      </c>
      <c r="AJ45" s="11">
        <f t="shared" ref="AJ45:AK45" si="226">(AJ39/AJ33-8.1)/20*100</f>
        <v>35.720138203356363</v>
      </c>
      <c r="AK45" s="11">
        <f t="shared" si="226"/>
        <v>36.103353353353356</v>
      </c>
      <c r="AL45" s="11">
        <f t="shared" ref="AL45:AO45" si="227">(AL39/AL33-8.1)/20*100</f>
        <v>38.103903847360819</v>
      </c>
      <c r="AM45" s="11">
        <f t="shared" si="227"/>
        <v>38.639506520311464</v>
      </c>
      <c r="AN45" s="11">
        <f t="shared" si="227"/>
        <v>36.449288787012904</v>
      </c>
      <c r="AO45" s="11">
        <f t="shared" si="227"/>
        <v>37.306770752821151</v>
      </c>
      <c r="AP45" s="11">
        <f t="shared" ref="AP45:AS45" si="228">(AP39/AP33-8.1)/20*100</f>
        <v>36.923149905123331</v>
      </c>
      <c r="AQ45" s="11">
        <f t="shared" si="228"/>
        <v>36.583247751532689</v>
      </c>
      <c r="AR45" s="11">
        <f t="shared" si="228"/>
        <v>37.960865489767215</v>
      </c>
      <c r="AS45" s="11">
        <f t="shared" si="228"/>
        <v>37.575519194461926</v>
      </c>
      <c r="AT45" s="11">
        <f t="shared" ref="AT45:AU45" si="229">(AT39/AT33-8.1)/20*100</f>
        <v>37.480952380952381</v>
      </c>
      <c r="AU45" s="11">
        <f t="shared" si="229"/>
        <v>37.452018869681261</v>
      </c>
      <c r="AV45" s="11">
        <f t="shared" ref="AV45:BF45" si="230">(AV39/AV33-8.1)/20*100</f>
        <v>36.855460451368572</v>
      </c>
      <c r="AW45" s="11">
        <f t="shared" si="230"/>
        <v>37.17800081933634</v>
      </c>
      <c r="AX45" s="11">
        <f t="shared" si="230"/>
        <v>37.53036876355749</v>
      </c>
      <c r="AY45" s="11">
        <f t="shared" si="230"/>
        <v>37.652902948930169</v>
      </c>
      <c r="AZ45" s="11">
        <f t="shared" si="230"/>
        <v>37.560181092039876</v>
      </c>
      <c r="BA45" s="11">
        <f t="shared" si="230"/>
        <v>36.20023105922413</v>
      </c>
      <c r="BB45" s="11">
        <f t="shared" si="230"/>
        <v>36.488544182302299</v>
      </c>
      <c r="BC45" s="11">
        <f t="shared" si="230"/>
        <v>36.917706114998474</v>
      </c>
      <c r="BD45" s="11">
        <f t="shared" si="230"/>
        <v>35.962039461081666</v>
      </c>
      <c r="BE45" s="11">
        <f t="shared" si="230"/>
        <v>35.723419892209698</v>
      </c>
      <c r="BF45" s="11">
        <f t="shared" si="230"/>
        <v>34.711365685329689</v>
      </c>
      <c r="BG45" s="11">
        <f t="shared" ref="BG45" si="231">(BG39/BG33-8.1)/20*100</f>
        <v>35.498487569713575</v>
      </c>
    </row>
    <row r="46" spans="1:59" ht="15.6" x14ac:dyDescent="0.3">
      <c r="A46" s="22" t="s">
        <v>65</v>
      </c>
      <c r="B46" s="28">
        <v>37.35489738409877</v>
      </c>
      <c r="C46" s="29">
        <v>37.553517379048962</v>
      </c>
      <c r="D46" s="11">
        <f t="shared" ref="D46:Q46" si="232">(D40/D34-8.1)/20*100</f>
        <v>17.752964862926799</v>
      </c>
      <c r="E46" s="11">
        <f t="shared" si="232"/>
        <v>18.847326231410182</v>
      </c>
      <c r="F46" s="11">
        <f t="shared" si="232"/>
        <v>28.929494551229389</v>
      </c>
      <c r="G46" s="11">
        <f t="shared" si="232"/>
        <v>27.297288573273075</v>
      </c>
      <c r="H46" s="11">
        <f t="shared" si="232"/>
        <v>25.10154645402924</v>
      </c>
      <c r="I46" s="11">
        <f t="shared" si="232"/>
        <v>23.857549093250345</v>
      </c>
      <c r="J46" s="11">
        <f t="shared" si="232"/>
        <v>27.784444444444446</v>
      </c>
      <c r="K46" s="11">
        <f t="shared" si="232"/>
        <v>39.742005375459371</v>
      </c>
      <c r="L46" s="11">
        <f t="shared" si="232"/>
        <v>37.762513282254908</v>
      </c>
      <c r="M46" s="11">
        <f t="shared" si="232"/>
        <v>22.92615677160364</v>
      </c>
      <c r="N46" s="11">
        <f t="shared" si="232"/>
        <v>28.401222332342257</v>
      </c>
      <c r="O46" s="11">
        <f t="shared" si="232"/>
        <v>37.223709110570418</v>
      </c>
      <c r="P46" s="11">
        <f t="shared" si="232"/>
        <v>38.355777223607639</v>
      </c>
      <c r="Q46" s="11">
        <f t="shared" si="232"/>
        <v>34.148928781321786</v>
      </c>
      <c r="R46" s="11">
        <f t="shared" ref="R46:X46" si="233">(R40/R34-8.1)/20*100</f>
        <v>35.250412677451301</v>
      </c>
      <c r="S46" s="11">
        <f t="shared" si="233"/>
        <v>31.546713380046711</v>
      </c>
      <c r="T46" s="11">
        <f t="shared" si="233"/>
        <v>31.44522948844342</v>
      </c>
      <c r="U46" s="11">
        <f t="shared" si="233"/>
        <v>29.568950469125028</v>
      </c>
      <c r="V46" s="11">
        <f t="shared" si="233"/>
        <v>33.551881777588768</v>
      </c>
      <c r="W46" s="11">
        <f t="shared" si="233"/>
        <v>36.911711405595192</v>
      </c>
      <c r="X46" s="11">
        <f t="shared" si="233"/>
        <v>36.603965458470633</v>
      </c>
      <c r="Y46" s="11">
        <f t="shared" ref="Y46:AC46" si="234">(Y40/Y34-8.1)/20*100</f>
        <v>37.07795840810725</v>
      </c>
      <c r="Z46" s="11">
        <f t="shared" si="234"/>
        <v>39.255146028666879</v>
      </c>
      <c r="AA46" s="11">
        <f t="shared" ref="AA46" si="235">(AA40/AA34-8.1)/20*100</f>
        <v>35.705571246607953</v>
      </c>
      <c r="AB46" s="11">
        <f t="shared" si="234"/>
        <v>40.21914645151017</v>
      </c>
      <c r="AC46" s="11">
        <f t="shared" si="234"/>
        <v>38.927184466019412</v>
      </c>
      <c r="AD46" s="11">
        <f t="shared" ref="AD46:AE46" si="236">(AD40/AD34-8.1)/20*100</f>
        <v>39.699615724152245</v>
      </c>
      <c r="AE46" s="11">
        <f t="shared" si="236"/>
        <v>39.122865301191574</v>
      </c>
      <c r="AF46" s="11">
        <f t="shared" ref="AF46:AG46" si="237">(AF40/AF34-8.1)/20*100</f>
        <v>39.849961627014572</v>
      </c>
      <c r="AG46" s="11">
        <f t="shared" si="237"/>
        <v>40.093998573701242</v>
      </c>
      <c r="AH46" s="11">
        <f t="shared" ref="AH46:AI46" si="238">(AH40/AH34-8.1)/20*100</f>
        <v>38.192287163063774</v>
      </c>
      <c r="AI46" s="11">
        <f t="shared" si="238"/>
        <v>37.299170124481329</v>
      </c>
      <c r="AJ46" s="11">
        <f t="shared" ref="AJ46:AK46" si="239">(AJ40/AJ34-8.1)/20*100</f>
        <v>36.383094494127789</v>
      </c>
      <c r="AK46" s="11">
        <f t="shared" si="239"/>
        <v>36.300729496325701</v>
      </c>
      <c r="AL46" s="11">
        <f t="shared" ref="AL46:AO46" si="240">(AL40/AL34-8.1)/20*100</f>
        <v>41.343323111235023</v>
      </c>
      <c r="AM46" s="11">
        <f t="shared" si="240"/>
        <v>38.030373209817384</v>
      </c>
      <c r="AN46" s="11">
        <f t="shared" si="240"/>
        <v>36.900112549240291</v>
      </c>
      <c r="AO46" s="11">
        <f t="shared" si="240"/>
        <v>38.178601516427968</v>
      </c>
      <c r="AP46" s="11">
        <f t="shared" ref="AP46:AS46" si="241">(AP40/AP34-8.1)/20*100</f>
        <v>38.366278137197234</v>
      </c>
      <c r="AQ46" s="11">
        <f t="shared" si="241"/>
        <v>38.296642296236115</v>
      </c>
      <c r="AR46" s="11">
        <f t="shared" si="241"/>
        <v>38.056161395856044</v>
      </c>
      <c r="AS46" s="11">
        <f t="shared" si="241"/>
        <v>37.179012345679006</v>
      </c>
      <c r="AT46" s="11">
        <f t="shared" ref="AT46:AU46" si="242">(AT40/AT34-8.1)/20*100</f>
        <v>37.273195876288653</v>
      </c>
      <c r="AU46" s="11">
        <f t="shared" si="242"/>
        <v>39.08427872466261</v>
      </c>
      <c r="AV46" s="11">
        <f t="shared" ref="AV46:BF46" si="243">(AV40/AV34-8.1)/20*100</f>
        <v>38.395705521472387</v>
      </c>
      <c r="AW46" s="11">
        <f t="shared" si="243"/>
        <v>37.078539107950874</v>
      </c>
      <c r="AX46" s="11">
        <f t="shared" si="243"/>
        <v>36.293388429752063</v>
      </c>
      <c r="AY46" s="11">
        <f t="shared" si="243"/>
        <v>37.846396965865985</v>
      </c>
      <c r="AZ46" s="11">
        <f t="shared" si="243"/>
        <v>38.377409406322272</v>
      </c>
      <c r="BA46" s="11">
        <f t="shared" si="243"/>
        <v>37.326190734512302</v>
      </c>
      <c r="BB46" s="11">
        <f t="shared" si="243"/>
        <v>37.651896059997874</v>
      </c>
      <c r="BC46" s="11">
        <f t="shared" si="243"/>
        <v>38.514647137150462</v>
      </c>
      <c r="BD46" s="11">
        <f t="shared" si="243"/>
        <v>38.490500863557855</v>
      </c>
      <c r="BE46" s="11">
        <f t="shared" si="243"/>
        <v>38.797441935138608</v>
      </c>
      <c r="BF46" s="11">
        <f t="shared" si="243"/>
        <v>39.046783152672162</v>
      </c>
      <c r="BG46" s="11">
        <f t="shared" ref="BG46" si="244">(BG40/BG34-8.1)/20*100</f>
        <v>37.725490196078432</v>
      </c>
    </row>
    <row r="47" spans="1:59" ht="16.2" thickBot="1" x14ac:dyDescent="0.35">
      <c r="A47" s="22" t="s">
        <v>66</v>
      </c>
      <c r="B47" s="56">
        <v>37.6840779746965</v>
      </c>
      <c r="C47" s="57">
        <v>36.795987606569504</v>
      </c>
      <c r="D47" s="11">
        <f t="shared" ref="D47:Q47" si="245">(D41/D35-8.1)/20*100</f>
        <v>27.337970175829067</v>
      </c>
      <c r="E47" s="11">
        <f t="shared" si="245"/>
        <v>27.264836486423977</v>
      </c>
      <c r="F47" s="11">
        <f t="shared" si="245"/>
        <v>31.714878232710813</v>
      </c>
      <c r="G47" s="11">
        <f t="shared" si="245"/>
        <v>29.327307370573465</v>
      </c>
      <c r="H47" s="11">
        <f t="shared" si="245"/>
        <v>31.129597501734906</v>
      </c>
      <c r="I47" s="11">
        <f t="shared" si="245"/>
        <v>31.101255588319219</v>
      </c>
      <c r="J47" s="11">
        <f t="shared" si="245"/>
        <v>29.529655597138653</v>
      </c>
      <c r="K47" s="11">
        <f t="shared" si="245"/>
        <v>26.56216339570971</v>
      </c>
      <c r="L47" s="11">
        <f t="shared" si="245"/>
        <v>31.421561389747598</v>
      </c>
      <c r="M47" s="11">
        <f t="shared" si="245"/>
        <v>36.224495568546111</v>
      </c>
      <c r="N47" s="11">
        <f t="shared" si="245"/>
        <v>30.34</v>
      </c>
      <c r="O47" s="11">
        <f t="shared" si="245"/>
        <v>29.303338476644704</v>
      </c>
      <c r="P47" s="11">
        <f t="shared" si="245"/>
        <v>35.483581940134144</v>
      </c>
      <c r="Q47" s="11">
        <f t="shared" si="245"/>
        <v>29.447210782478461</v>
      </c>
      <c r="R47" s="11">
        <f t="shared" ref="R47:X47" si="246">(R41/R35-8.1)/20*100</f>
        <v>29.025623998168072</v>
      </c>
      <c r="S47" s="11">
        <f t="shared" si="246"/>
        <v>31.085376971465035</v>
      </c>
      <c r="T47" s="11">
        <f t="shared" si="246"/>
        <v>30.378391406142391</v>
      </c>
      <c r="U47" s="11">
        <f t="shared" si="246"/>
        <v>31.477526002971768</v>
      </c>
      <c r="V47" s="11">
        <f t="shared" si="246"/>
        <v>29.69010614101591</v>
      </c>
      <c r="W47" s="11">
        <f t="shared" si="246"/>
        <v>37.215481171548106</v>
      </c>
      <c r="X47" s="11">
        <f t="shared" si="246"/>
        <v>37.107954810699781</v>
      </c>
      <c r="Y47" s="11">
        <f t="shared" ref="Y47:AC47" si="247">(Y41/Y35-8.1)/20*100</f>
        <v>37.605754421990945</v>
      </c>
      <c r="Z47" s="11">
        <f t="shared" si="247"/>
        <v>36.196896061620279</v>
      </c>
      <c r="AA47" s="11">
        <f t="shared" ref="AA47" si="248">(AA41/AA35-8.1)/20*100</f>
        <v>34.468712943537362</v>
      </c>
      <c r="AB47" s="11">
        <f t="shared" si="247"/>
        <v>34.419706691109077</v>
      </c>
      <c r="AC47" s="11">
        <f t="shared" si="247"/>
        <v>36.500596029526392</v>
      </c>
      <c r="AD47" s="11">
        <f t="shared" ref="AD47:AE47" si="249">(AD41/AD35-8.1)/20*100</f>
        <v>37.741310315946222</v>
      </c>
      <c r="AE47" s="11">
        <f t="shared" si="249"/>
        <v>38.199144529491214</v>
      </c>
      <c r="AF47" s="11">
        <f t="shared" ref="AF47:AG47" si="250">(AF41/AF35-8.1)/20*100</f>
        <v>37.247116158454794</v>
      </c>
      <c r="AG47" s="11">
        <f t="shared" si="250"/>
        <v>37.44542739490474</v>
      </c>
      <c r="AH47" s="11">
        <f t="shared" ref="AH47:AI47" si="251">(AH41/AH35-8.1)/20*100</f>
        <v>36.946092619392182</v>
      </c>
      <c r="AI47" s="11">
        <f t="shared" si="251"/>
        <v>36.919679798524925</v>
      </c>
      <c r="AJ47" s="11">
        <f t="shared" ref="AJ47:AK47" si="252">(AJ41/AJ35-8.1)/20*100</f>
        <v>37.548905109489034</v>
      </c>
      <c r="AK47" s="11">
        <f t="shared" si="252"/>
        <v>38.079218999771633</v>
      </c>
      <c r="AL47" s="11">
        <f t="shared" ref="AL47:AO47" si="253">(AL41/AL35-8.1)/20*100</f>
        <v>37.112596183783296</v>
      </c>
      <c r="AM47" s="11">
        <f t="shared" si="253"/>
        <v>35.799867355806605</v>
      </c>
      <c r="AN47" s="11">
        <f t="shared" si="253"/>
        <v>38.279271312345237</v>
      </c>
      <c r="AO47" s="11">
        <f t="shared" si="253"/>
        <v>37.312863862884811</v>
      </c>
      <c r="AP47" s="11">
        <f t="shared" ref="AP47:AS47" si="254">(AP41/AP35-8.1)/20*100</f>
        <v>37.703732083295769</v>
      </c>
      <c r="AQ47" s="11">
        <f t="shared" si="254"/>
        <v>37.009310564083925</v>
      </c>
      <c r="AR47" s="11">
        <f t="shared" si="254"/>
        <v>36.761089073205902</v>
      </c>
      <c r="AS47" s="11">
        <f t="shared" si="254"/>
        <v>37.869282685028949</v>
      </c>
      <c r="AT47" s="11">
        <f t="shared" ref="AT47:AU47" si="255">(AT41/AT35-8.1)/20*100</f>
        <v>37.015789473684194</v>
      </c>
      <c r="AU47" s="11">
        <f t="shared" si="255"/>
        <v>35.326331548861269</v>
      </c>
      <c r="AV47" s="11">
        <f t="shared" ref="AV47:BF47" si="256">(AV41/AV35-8.1)/20*100</f>
        <v>37.424836901589636</v>
      </c>
      <c r="AW47" s="11">
        <f t="shared" si="256"/>
        <v>35.457515461145469</v>
      </c>
      <c r="AX47" s="11">
        <f t="shared" si="256"/>
        <v>35.946073108939558</v>
      </c>
      <c r="AY47" s="11">
        <f t="shared" si="256"/>
        <v>37.512624313155627</v>
      </c>
      <c r="AZ47" s="11">
        <f t="shared" si="256"/>
        <v>35.243291185299732</v>
      </c>
      <c r="BA47" s="11">
        <f t="shared" si="256"/>
        <v>38.054401514102373</v>
      </c>
      <c r="BB47" s="11">
        <f t="shared" si="256"/>
        <v>37.886665428544902</v>
      </c>
      <c r="BC47" s="11">
        <f t="shared" si="256"/>
        <v>37.212509279881225</v>
      </c>
      <c r="BD47" s="11">
        <f t="shared" si="256"/>
        <v>36.360863360684966</v>
      </c>
      <c r="BE47" s="11">
        <f t="shared" si="256"/>
        <v>37.152074050254939</v>
      </c>
      <c r="BF47" s="11">
        <f t="shared" si="256"/>
        <v>37.152793536967259</v>
      </c>
      <c r="BG47" s="11">
        <f t="shared" ref="BG47" si="257">(BG41/BG35-8.1)/20*100</f>
        <v>37.195513253228924</v>
      </c>
    </row>
    <row r="48" spans="1:59" ht="15" thickBot="1" x14ac:dyDescent="0.35">
      <c r="A48" s="23"/>
      <c r="B48" s="58"/>
      <c r="C48" s="59"/>
      <c r="D48" s="5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9" ht="15.6" x14ac:dyDescent="0.3">
      <c r="A49" s="24" t="s">
        <v>67</v>
      </c>
      <c r="B49" s="30"/>
      <c r="C49" s="30"/>
      <c r="D49" s="11">
        <f t="shared" ref="D49:Q49" si="258">-(D13*2+D14)+D17*2+D16</f>
        <v>999.1</v>
      </c>
      <c r="E49" s="11">
        <f t="shared" si="258"/>
        <v>1021.0999999999999</v>
      </c>
      <c r="F49" s="11">
        <f t="shared" si="258"/>
        <v>420.19999999999993</v>
      </c>
      <c r="G49" s="11">
        <f t="shared" si="258"/>
        <v>346.29999999999995</v>
      </c>
      <c r="H49" s="11">
        <f t="shared" si="258"/>
        <v>383.70000000000005</v>
      </c>
      <c r="I49" s="11">
        <f t="shared" si="258"/>
        <v>408.19999999999993</v>
      </c>
      <c r="J49" s="11">
        <f t="shared" si="258"/>
        <v>414.40000000000009</v>
      </c>
      <c r="K49" s="11">
        <f t="shared" si="258"/>
        <v>170.10000000000014</v>
      </c>
      <c r="L49" s="11">
        <f t="shared" si="258"/>
        <v>-18.200000000000045</v>
      </c>
      <c r="M49" s="11">
        <f t="shared" si="258"/>
        <v>272.5</v>
      </c>
      <c r="N49" s="11">
        <f t="shared" si="258"/>
        <v>341.79999999999995</v>
      </c>
      <c r="O49" s="11">
        <f t="shared" si="258"/>
        <v>190.79999999999995</v>
      </c>
      <c r="P49" s="11">
        <f t="shared" si="258"/>
        <v>29.699999999999932</v>
      </c>
      <c r="Q49" s="11">
        <f t="shared" si="258"/>
        <v>215.59999999999991</v>
      </c>
      <c r="R49" s="11">
        <f t="shared" ref="R49:X49" si="259">-(R13*2+R14)+R17*2+R16</f>
        <v>309.09999999999991</v>
      </c>
      <c r="S49" s="11">
        <f t="shared" si="259"/>
        <v>303.69999999999993</v>
      </c>
      <c r="T49" s="11">
        <f t="shared" si="259"/>
        <v>325.90000000000009</v>
      </c>
      <c r="U49" s="11">
        <f t="shared" si="259"/>
        <v>511.1</v>
      </c>
      <c r="V49" s="11">
        <f t="shared" si="259"/>
        <v>241.10000000000002</v>
      </c>
      <c r="W49" s="11">
        <f t="shared" si="259"/>
        <v>-18.300000000000068</v>
      </c>
      <c r="X49" s="11">
        <f t="shared" si="259"/>
        <v>-83.299999999999955</v>
      </c>
      <c r="Y49" s="11">
        <f t="shared" ref="Y49:AC49" si="260">-(Y13*2+Y14)+Y17*2+Y16</f>
        <v>-11.5</v>
      </c>
      <c r="Z49" s="11">
        <f t="shared" si="260"/>
        <v>-64.499999999999886</v>
      </c>
      <c r="AA49" s="11">
        <f>-(AA13*2+AA14)+AA17*2+AA16</f>
        <v>81.799999999999955</v>
      </c>
      <c r="AB49" s="11">
        <f>-(AB13*2+AB14)+AB17*2+AB16</f>
        <v>16</v>
      </c>
      <c r="AC49" s="11">
        <f t="shared" si="260"/>
        <v>-28.199999999999932</v>
      </c>
      <c r="AD49" s="11">
        <f t="shared" ref="AD49:AE49" si="261">-(AD13*2+AD14)+AD17*2+AD16</f>
        <v>-149.79999999999995</v>
      </c>
      <c r="AE49" s="11">
        <f t="shared" si="261"/>
        <v>-10.399999999999977</v>
      </c>
      <c r="AF49" s="11">
        <f t="shared" ref="AF49:AG49" si="262">-(AF13*2+AF14)+AF17*2+AF16</f>
        <v>-78.799999999999955</v>
      </c>
      <c r="AG49" s="11">
        <f t="shared" si="262"/>
        <v>-77</v>
      </c>
      <c r="AH49" s="11">
        <f t="shared" ref="AH49:AI49" si="263">-(AH13*2+AH14)+AH17*2+AH16</f>
        <v>-47.600000000000023</v>
      </c>
      <c r="AI49" s="11">
        <f t="shared" si="263"/>
        <v>2.7999999999999545</v>
      </c>
      <c r="AJ49" s="11">
        <f t="shared" ref="AJ49:AK49" si="264">-(AJ13*2+AJ14)+AJ17*2+AJ16</f>
        <v>6.1999999999999318</v>
      </c>
      <c r="AK49" s="11">
        <f t="shared" si="264"/>
        <v>-12.500000000000114</v>
      </c>
      <c r="AL49" s="11">
        <f t="shared" ref="AL49:AO49" si="265">-(AL13*2+AL14)+AL17*2+AL16</f>
        <v>-71.299999999999955</v>
      </c>
      <c r="AM49" s="11">
        <f t="shared" si="265"/>
        <v>72.5</v>
      </c>
      <c r="AN49" s="11">
        <f t="shared" si="265"/>
        <v>38.600000000000023</v>
      </c>
      <c r="AO49" s="11">
        <f t="shared" si="265"/>
        <v>-15.700000000000045</v>
      </c>
      <c r="AP49" s="11">
        <f t="shared" ref="AP49:AS49" si="266">-(AP13*2+AP14)+AP17*2+AP16</f>
        <v>0.89999999999997726</v>
      </c>
      <c r="AQ49" s="11">
        <f t="shared" si="266"/>
        <v>49</v>
      </c>
      <c r="AR49" s="11">
        <f t="shared" si="266"/>
        <v>34.5</v>
      </c>
      <c r="AS49" s="11">
        <f t="shared" si="266"/>
        <v>8.5999999999999091</v>
      </c>
      <c r="AT49" s="11">
        <f t="shared" ref="AT49:AU49" si="267">-(AT13*2+AT14)+AT17*2+AT16</f>
        <v>67</v>
      </c>
      <c r="AU49" s="11">
        <f t="shared" si="267"/>
        <v>90.799999999999955</v>
      </c>
      <c r="AV49" s="11">
        <f t="shared" ref="AV49:BF49" si="268">-(AV13*2+AV14)+AV17*2+AV16</f>
        <v>-22.700000000000045</v>
      </c>
      <c r="AW49" s="11">
        <f t="shared" si="268"/>
        <v>120.20000000000005</v>
      </c>
      <c r="AX49" s="11">
        <f t="shared" si="268"/>
        <v>164</v>
      </c>
      <c r="AY49" s="11">
        <f t="shared" si="268"/>
        <v>-47.599999999999909</v>
      </c>
      <c r="AZ49" s="11">
        <f t="shared" si="268"/>
        <v>66.200000000000045</v>
      </c>
      <c r="BA49" s="11">
        <f t="shared" si="268"/>
        <v>-24.999999999999886</v>
      </c>
      <c r="BB49" s="11">
        <f t="shared" si="268"/>
        <v>-81.899999999999977</v>
      </c>
      <c r="BC49" s="11">
        <f t="shared" si="268"/>
        <v>-62.600000000000023</v>
      </c>
      <c r="BD49" s="11">
        <f t="shared" si="268"/>
        <v>111.29999999999995</v>
      </c>
      <c r="BE49" s="11">
        <f t="shared" si="268"/>
        <v>24.899999999999977</v>
      </c>
      <c r="BF49" s="11">
        <f t="shared" si="268"/>
        <v>39.700000000000045</v>
      </c>
      <c r="BG49" s="11">
        <f t="shared" ref="BG49" si="269">-(BG13*2+BG14)+BG17*2+BG16</f>
        <v>93.899999999999977</v>
      </c>
    </row>
    <row r="50" spans="1:59" ht="15.6" x14ac:dyDescent="0.3">
      <c r="A50" s="25" t="s">
        <v>68</v>
      </c>
      <c r="B50" s="30"/>
      <c r="C50" s="30"/>
      <c r="D50" s="11">
        <f t="shared" ref="D50:Q50" si="270">-(D20*2+D21)+D24*2+D23</f>
        <v>-879.29999999999973</v>
      </c>
      <c r="E50" s="11">
        <f t="shared" si="270"/>
        <v>-901.89999999999941</v>
      </c>
      <c r="F50" s="11">
        <f t="shared" si="270"/>
        <v>-436.09999999999991</v>
      </c>
      <c r="G50" s="11">
        <f t="shared" si="270"/>
        <v>-357.19999999999959</v>
      </c>
      <c r="H50" s="11">
        <f t="shared" si="270"/>
        <v>-395.29999999999973</v>
      </c>
      <c r="I50" s="11">
        <f t="shared" si="270"/>
        <v>-409.00000000000023</v>
      </c>
      <c r="J50" s="11">
        <f t="shared" si="270"/>
        <v>-417.19999999999936</v>
      </c>
      <c r="K50" s="11">
        <f t="shared" si="270"/>
        <v>-179.80000000000064</v>
      </c>
      <c r="L50" s="11">
        <f t="shared" si="270"/>
        <v>-138.40000000000055</v>
      </c>
      <c r="M50" s="11">
        <f t="shared" si="270"/>
        <v>-421.60000000000014</v>
      </c>
      <c r="N50" s="11">
        <f t="shared" si="270"/>
        <v>-492.19999999999959</v>
      </c>
      <c r="O50" s="11">
        <f t="shared" si="270"/>
        <v>-347.20000000000027</v>
      </c>
      <c r="P50" s="11">
        <f t="shared" si="270"/>
        <v>-248.80000000000041</v>
      </c>
      <c r="Q50" s="11">
        <f t="shared" si="270"/>
        <v>-370.29999999999995</v>
      </c>
      <c r="R50" s="11">
        <f t="shared" ref="R50:X50" si="271">-(R20*2+R21)+R24*2+R23</f>
        <v>-462.09999999999991</v>
      </c>
      <c r="S50" s="11">
        <f t="shared" si="271"/>
        <v>-395.59999999999923</v>
      </c>
      <c r="T50" s="11">
        <f t="shared" si="271"/>
        <v>-420.49999999999977</v>
      </c>
      <c r="U50" s="11">
        <f t="shared" si="271"/>
        <v>-592.10000000000014</v>
      </c>
      <c r="V50" s="11">
        <f t="shared" si="271"/>
        <v>-333.60000000000014</v>
      </c>
      <c r="W50" s="11">
        <f t="shared" si="271"/>
        <v>-60.700000000000045</v>
      </c>
      <c r="X50" s="11">
        <f t="shared" si="271"/>
        <v>23.500000000000227</v>
      </c>
      <c r="Y50" s="11">
        <f t="shared" ref="Y50:AC50" si="272">-(Y20*2+Y21)+Y24*2+Y23</f>
        <v>-69.900000000000091</v>
      </c>
      <c r="Z50" s="11">
        <f t="shared" si="272"/>
        <v>-23.499999999999773</v>
      </c>
      <c r="AA50" s="11">
        <f t="shared" ref="AA50" si="273">-(AA20*2+AA21)+AA24*2+AA23</f>
        <v>-158.7999999999995</v>
      </c>
      <c r="AB50" s="11">
        <f t="shared" si="272"/>
        <v>-103.90000000000009</v>
      </c>
      <c r="AC50" s="11">
        <f t="shared" si="272"/>
        <v>95.200000000000045</v>
      </c>
      <c r="AD50" s="11">
        <f t="shared" ref="AD50:AE50" si="274">-(AD20*2+AD21)+AD24*2+AD23</f>
        <v>215.79999999999995</v>
      </c>
      <c r="AE50" s="11">
        <f t="shared" si="274"/>
        <v>57.299999999999727</v>
      </c>
      <c r="AF50" s="11">
        <f t="shared" ref="AF50:AG50" si="275">-(AF20*2+AF21)+AF24*2+AF23</f>
        <v>127.7999999999995</v>
      </c>
      <c r="AG50" s="11">
        <f t="shared" si="275"/>
        <v>125</v>
      </c>
      <c r="AH50" s="11">
        <f t="shared" ref="AH50:AI50" si="276">-(AH20*2+AH21)+AH24*2+AH23</f>
        <v>88.600000000000364</v>
      </c>
      <c r="AI50" s="11">
        <f t="shared" si="276"/>
        <v>34.900000000000091</v>
      </c>
      <c r="AJ50" s="11">
        <f t="shared" ref="AJ50:AK50" si="277">-(AJ20*2+AJ21)+AJ24*2+AJ23</f>
        <v>28.200000000000045</v>
      </c>
      <c r="AK50" s="11">
        <f t="shared" si="277"/>
        <v>50.999999999999773</v>
      </c>
      <c r="AL50" s="11">
        <f t="shared" ref="AL50:AO50" si="278">-(AL20*2+AL21)+AL24*2+AL23</f>
        <v>36.099999999999909</v>
      </c>
      <c r="AM50" s="11">
        <f t="shared" si="278"/>
        <v>-102.40000000000032</v>
      </c>
      <c r="AN50" s="11">
        <f t="shared" si="278"/>
        <v>-70.000000000000909</v>
      </c>
      <c r="AO50" s="11">
        <f t="shared" si="278"/>
        <v>-12.600000000000136</v>
      </c>
      <c r="AP50" s="11">
        <f t="shared" ref="AP50:AS50" si="279">-(AP20*2+AP21)+AP24*2+AP23</f>
        <v>-30.500000000000227</v>
      </c>
      <c r="AQ50" s="11">
        <f t="shared" si="279"/>
        <v>-81.399999999999636</v>
      </c>
      <c r="AR50" s="11">
        <f t="shared" si="279"/>
        <v>-70.300000000000182</v>
      </c>
      <c r="AS50" s="11">
        <f t="shared" si="279"/>
        <v>-41.5</v>
      </c>
      <c r="AT50" s="11">
        <f t="shared" ref="AT50:AU50" si="280">-(AT20*2+AT21)+AT24*2+AT23</f>
        <v>-92.899999999999636</v>
      </c>
      <c r="AU50" s="11">
        <f t="shared" si="280"/>
        <v>-121.19999999999982</v>
      </c>
      <c r="AV50" s="11">
        <f t="shared" ref="AV50:BF50" si="281">-(AV20*2+AV21)+AV24*2+AV23</f>
        <v>-13.199999999999818</v>
      </c>
      <c r="AW50" s="11">
        <f t="shared" si="281"/>
        <v>-183.29999999999927</v>
      </c>
      <c r="AX50" s="11">
        <f t="shared" si="281"/>
        <v>-191.89999999999964</v>
      </c>
      <c r="AY50" s="11">
        <f t="shared" si="281"/>
        <v>15.000000000000227</v>
      </c>
      <c r="AZ50" s="11">
        <f t="shared" si="281"/>
        <v>-87.500000000000227</v>
      </c>
      <c r="BA50" s="11">
        <f t="shared" si="281"/>
        <v>-3</v>
      </c>
      <c r="BB50" s="11">
        <f t="shared" si="281"/>
        <v>54.099999999999909</v>
      </c>
      <c r="BC50" s="11">
        <f t="shared" si="281"/>
        <v>33.899999999999636</v>
      </c>
      <c r="BD50" s="11">
        <f t="shared" si="281"/>
        <v>-136.70000000000005</v>
      </c>
      <c r="BE50" s="11">
        <f t="shared" si="281"/>
        <v>-47.200000000000273</v>
      </c>
      <c r="BF50" s="11">
        <f t="shared" si="281"/>
        <v>-65.499999999999773</v>
      </c>
      <c r="BG50" s="11">
        <f t="shared" ref="BG50" si="282">-(BG20*2+BG21)+BG24*2+BG23</f>
        <v>-117.30000000000041</v>
      </c>
    </row>
    <row r="51" spans="1:59" ht="16.2" thickBot="1" x14ac:dyDescent="0.35">
      <c r="A51" s="25" t="s">
        <v>69</v>
      </c>
      <c r="B51" s="31">
        <v>-2.1177400361488158E-2</v>
      </c>
      <c r="C51" s="32">
        <v>-8.6834717159389695E-3</v>
      </c>
      <c r="D51" s="12">
        <f t="shared" ref="D51:Q51" si="283">(D49+D50)/D27/0.2</f>
        <v>5.404771357418716E-2</v>
      </c>
      <c r="E51" s="12">
        <f t="shared" si="283"/>
        <v>5.3754712556595988E-2</v>
      </c>
      <c r="F51" s="12">
        <f t="shared" si="283"/>
        <v>-7.0477473803655854E-3</v>
      </c>
      <c r="G51" s="12">
        <f t="shared" si="283"/>
        <v>-4.829761968061376E-3</v>
      </c>
      <c r="H51" s="12">
        <f t="shared" si="283"/>
        <v>-5.1438960578243454E-3</v>
      </c>
      <c r="I51" s="12">
        <f t="shared" si="283"/>
        <v>-3.5470111996891731E-4</v>
      </c>
      <c r="J51" s="12">
        <f t="shared" si="283"/>
        <v>-1.2416961569500717E-3</v>
      </c>
      <c r="K51" s="12">
        <f t="shared" si="283"/>
        <v>-4.2948859862742966E-3</v>
      </c>
      <c r="L51" s="12">
        <f t="shared" si="283"/>
        <v>-6.9356481686523141E-2</v>
      </c>
      <c r="M51" s="12">
        <f t="shared" si="283"/>
        <v>-6.6070510661680043E-2</v>
      </c>
      <c r="N51" s="12">
        <f t="shared" si="283"/>
        <v>-6.6566345047357547E-2</v>
      </c>
      <c r="O51" s="12">
        <f t="shared" si="283"/>
        <v>-6.9255021431860991E-2</v>
      </c>
      <c r="P51" s="12">
        <f t="shared" si="283"/>
        <v>-9.7355277891331984E-2</v>
      </c>
      <c r="Q51" s="12">
        <f t="shared" si="283"/>
        <v>-6.8490724753176635E-2</v>
      </c>
      <c r="R51" s="12">
        <f t="shared" ref="R51:X51" si="284">(R49+R50)/R27/0.2</f>
        <v>-6.7738679228575988E-2</v>
      </c>
      <c r="S51" s="12">
        <f t="shared" si="284"/>
        <v>-4.0669115369296495E-2</v>
      </c>
      <c r="T51" s="12">
        <f t="shared" si="284"/>
        <v>-4.1887691394868837E-2</v>
      </c>
      <c r="U51" s="12">
        <f t="shared" si="284"/>
        <v>-3.5915399281692059E-2</v>
      </c>
      <c r="V51" s="12">
        <f t="shared" si="284"/>
        <v>-4.0952397818233378E-2</v>
      </c>
      <c r="W51" s="12">
        <f t="shared" si="284"/>
        <v>-3.4970916592150625E-2</v>
      </c>
      <c r="X51" s="12">
        <f t="shared" si="284"/>
        <v>-2.6502158286134555E-2</v>
      </c>
      <c r="Y51" s="12">
        <f t="shared" ref="Y51:AC51" si="285">(Y49+Y50)/Y27/0.2</f>
        <v>-3.6039705660978867E-2</v>
      </c>
      <c r="Z51" s="12">
        <f t="shared" si="285"/>
        <v>-3.89587391535327E-2</v>
      </c>
      <c r="AA51" s="12">
        <f t="shared" ref="AA51" si="286">(AA49+AA50)/AA27/0.2</f>
        <v>-3.408135263134579E-2</v>
      </c>
      <c r="AB51" s="12">
        <f t="shared" si="285"/>
        <v>-3.841514579400046E-2</v>
      </c>
      <c r="AC51" s="12">
        <f t="shared" si="285"/>
        <v>2.9660454203373373E-2</v>
      </c>
      <c r="AD51" s="12">
        <f t="shared" ref="AD51:AE51" si="287">(AD49+AD50)/AD27/0.2</f>
        <v>2.9218536948168086E-2</v>
      </c>
      <c r="AE51" s="12">
        <f t="shared" si="287"/>
        <v>2.0755334873387921E-2</v>
      </c>
      <c r="AF51" s="12">
        <f t="shared" ref="AF51:AG51" si="288">(AF49+AF50)/AF27/0.2</f>
        <v>2.1686981614750488E-2</v>
      </c>
      <c r="AG51" s="12">
        <f t="shared" si="288"/>
        <v>2.1242697822623471E-2</v>
      </c>
      <c r="AH51" s="12">
        <f t="shared" ref="AH51:AI51" si="289">(AH49+AH50)/AH27/0.2</f>
        <v>1.8154124085652194E-2</v>
      </c>
      <c r="AI51" s="12">
        <f t="shared" si="289"/>
        <v>1.669589555543748E-2</v>
      </c>
      <c r="AJ51" s="12">
        <f t="shared" ref="AJ51:AK51" si="290">(AJ49+AJ50)/AJ27/0.2</f>
        <v>1.5230269274702689E-2</v>
      </c>
      <c r="AK51" s="12">
        <f t="shared" si="290"/>
        <v>1.7047165299941398E-2</v>
      </c>
      <c r="AL51" s="12">
        <f t="shared" ref="AL51:AO51" si="291">(AL49+AL50)/AL27/0.2</f>
        <v>-1.5537820467547162E-2</v>
      </c>
      <c r="AM51" s="12">
        <f t="shared" si="291"/>
        <v>-1.3207063791443374E-2</v>
      </c>
      <c r="AN51" s="12">
        <f t="shared" si="291"/>
        <v>-1.3868522869812943E-2</v>
      </c>
      <c r="AO51" s="12">
        <f t="shared" si="291"/>
        <v>-1.2497902295551181E-2</v>
      </c>
      <c r="AP51" s="12">
        <f t="shared" ref="AP51:AS51" si="292">(AP49+AP50)/AP27/0.2</f>
        <v>-1.3072241801143048E-2</v>
      </c>
      <c r="AQ51" s="12">
        <f t="shared" si="292"/>
        <v>-1.431398883155423E-2</v>
      </c>
      <c r="AR51" s="12">
        <f>(AR49+AR50)/AR27/0.2</f>
        <v>-1.581397814313867E-2</v>
      </c>
      <c r="AS51" s="12">
        <f t="shared" si="292"/>
        <v>-1.4533214358285739E-2</v>
      </c>
      <c r="AT51" s="12">
        <f t="shared" ref="AT51:AU51" si="293">(AT49+AT50)/AT27/0.2</f>
        <v>-1.1438312605991924E-2</v>
      </c>
      <c r="AU51" s="12">
        <f t="shared" si="293"/>
        <v>-1.3424122795396879E-2</v>
      </c>
      <c r="AV51" s="12">
        <f t="shared" ref="AV51:BF51" si="294">(AV49+AV50)/AV27/0.2</f>
        <v>-1.5852689216638641E-2</v>
      </c>
      <c r="AW51" s="12">
        <f t="shared" si="294"/>
        <v>-2.779245947850565E-2</v>
      </c>
      <c r="AX51" s="12">
        <f t="shared" si="294"/>
        <v>-1.2305493807557794E-2</v>
      </c>
      <c r="AY51" s="12">
        <f t="shared" si="294"/>
        <v>-1.4377701331921884E-2</v>
      </c>
      <c r="AZ51" s="12">
        <f t="shared" si="294"/>
        <v>-9.3960086813827479E-3</v>
      </c>
      <c r="BA51" s="12">
        <f t="shared" si="294"/>
        <v>-1.235417659412995E-2</v>
      </c>
      <c r="BB51" s="12">
        <f t="shared" si="294"/>
        <v>-1.2261496255391999E-2</v>
      </c>
      <c r="BC51" s="12">
        <f t="shared" si="294"/>
        <v>-1.2658897837842777E-2</v>
      </c>
      <c r="BD51" s="12">
        <f t="shared" si="294"/>
        <v>-1.1201566455277564E-2</v>
      </c>
      <c r="BE51" s="12">
        <f t="shared" si="294"/>
        <v>-9.8348798645169402E-3</v>
      </c>
      <c r="BF51" s="12">
        <f t="shared" si="294"/>
        <v>-1.1380779715745056E-2</v>
      </c>
      <c r="BG51" s="12">
        <f t="shared" ref="BG51" si="295">(BG49+BG50)/BG27/0.2</f>
        <v>-1.0320554663655959E-2</v>
      </c>
    </row>
  </sheetData>
  <mergeCells count="10">
    <mergeCell ref="AW4:BF4"/>
    <mergeCell ref="AB4:AG4"/>
    <mergeCell ref="AH4:AK4"/>
    <mergeCell ref="AL4:AU4"/>
    <mergeCell ref="D6:Q6"/>
    <mergeCell ref="D4:K4"/>
    <mergeCell ref="L4:Q4"/>
    <mergeCell ref="R4:V4"/>
    <mergeCell ref="W4:Z4"/>
    <mergeCell ref="AW6:B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2FF7-9377-42CE-B5E8-2233DAF1EAF9}">
  <dimension ref="A1:BI46"/>
  <sheetViews>
    <sheetView topLeftCell="U15" workbookViewId="0">
      <selection activeCell="AA32" sqref="AA32"/>
    </sheetView>
  </sheetViews>
  <sheetFormatPr defaultRowHeight="14.4" x14ac:dyDescent="0.3"/>
  <cols>
    <col min="6" max="15" width="8.88671875" bestFit="1" customWidth="1"/>
    <col min="16" max="21" width="9" bestFit="1" customWidth="1"/>
    <col min="32" max="44" width="9" bestFit="1" customWidth="1"/>
    <col min="50" max="50" width="10" bestFit="1" customWidth="1"/>
  </cols>
  <sheetData>
    <row r="1" spans="1:61" ht="15" thickBot="1" x14ac:dyDescent="0.35">
      <c r="A1" s="167" t="s">
        <v>70</v>
      </c>
      <c r="B1" s="167"/>
      <c r="C1" s="167"/>
      <c r="D1" s="167"/>
      <c r="E1" s="167"/>
      <c r="F1" s="167" t="s">
        <v>71</v>
      </c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>
        <v>43579</v>
      </c>
      <c r="W1" s="169"/>
      <c r="X1" s="169"/>
      <c r="Y1" s="169"/>
      <c r="Z1" s="169"/>
      <c r="AA1" s="169"/>
      <c r="AB1" s="168">
        <v>43580</v>
      </c>
      <c r="AC1" s="169"/>
      <c r="AD1" s="169"/>
      <c r="AE1" s="169"/>
      <c r="AF1" s="170" t="s">
        <v>72</v>
      </c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 t="s">
        <v>73</v>
      </c>
      <c r="AT1" s="166"/>
      <c r="AU1" s="166"/>
      <c r="AV1" s="166"/>
      <c r="AW1" s="166"/>
      <c r="AX1" s="166"/>
      <c r="AY1" s="166"/>
      <c r="AZ1" s="166"/>
      <c r="BA1" s="166"/>
      <c r="BB1" s="166"/>
    </row>
    <row r="2" spans="1:61" ht="15.6" x14ac:dyDescent="0.3">
      <c r="A2" s="76">
        <v>400.1</v>
      </c>
      <c r="B2" s="76">
        <v>458.8</v>
      </c>
      <c r="C2" s="76">
        <v>418.9</v>
      </c>
      <c r="D2" s="76">
        <v>456.4</v>
      </c>
      <c r="E2" s="76">
        <v>439.5</v>
      </c>
      <c r="F2" s="77">
        <v>339.5</v>
      </c>
      <c r="G2" s="78">
        <v>334.7</v>
      </c>
      <c r="H2" s="78">
        <v>284.89999999999998</v>
      </c>
      <c r="I2" s="78">
        <v>342.5</v>
      </c>
      <c r="J2" s="78">
        <v>353.3</v>
      </c>
      <c r="K2" s="78">
        <v>349.8</v>
      </c>
      <c r="L2" s="78">
        <v>281.39999999999998</v>
      </c>
      <c r="M2" s="78">
        <v>297.8</v>
      </c>
      <c r="N2" s="78">
        <v>322.89999999999998</v>
      </c>
      <c r="O2" s="79">
        <v>387.9</v>
      </c>
      <c r="P2" s="80">
        <v>338.1</v>
      </c>
      <c r="Q2" s="81">
        <v>307.8</v>
      </c>
      <c r="R2" s="81">
        <v>343.5</v>
      </c>
      <c r="S2" s="81">
        <v>363</v>
      </c>
      <c r="T2" s="81">
        <v>373.2</v>
      </c>
      <c r="U2" s="82">
        <v>316.2</v>
      </c>
      <c r="V2">
        <v>437</v>
      </c>
      <c r="W2">
        <v>427.2</v>
      </c>
      <c r="X2">
        <v>449.5</v>
      </c>
      <c r="Y2">
        <v>320.8</v>
      </c>
      <c r="Z2">
        <v>378.9</v>
      </c>
      <c r="AA2">
        <v>353.6</v>
      </c>
      <c r="AB2">
        <v>373.8</v>
      </c>
      <c r="AC2">
        <v>351.1</v>
      </c>
      <c r="AD2">
        <v>338.8</v>
      </c>
      <c r="AE2">
        <v>335.6</v>
      </c>
      <c r="AF2" s="153">
        <v>343.7</v>
      </c>
      <c r="AG2" s="153">
        <v>334.3</v>
      </c>
      <c r="AH2" s="153">
        <v>322.89999999999998</v>
      </c>
      <c r="AI2" s="153">
        <v>328.6</v>
      </c>
      <c r="AJ2" s="153">
        <v>328.2</v>
      </c>
      <c r="AK2" s="153">
        <v>324.3</v>
      </c>
      <c r="AL2" s="153">
        <v>337</v>
      </c>
      <c r="AM2" s="153">
        <v>312.2</v>
      </c>
      <c r="AN2" s="153">
        <v>317</v>
      </c>
      <c r="AO2" s="153">
        <v>334.8</v>
      </c>
      <c r="AP2" s="153">
        <v>349.3</v>
      </c>
      <c r="AQ2" s="153">
        <v>430.2</v>
      </c>
      <c r="AR2" s="153">
        <v>389.5</v>
      </c>
      <c r="AS2" s="153">
        <v>300</v>
      </c>
      <c r="AT2" s="153">
        <v>347.9</v>
      </c>
      <c r="AU2" s="153">
        <v>347.3</v>
      </c>
      <c r="AV2" s="153">
        <v>337.4</v>
      </c>
      <c r="AW2" s="153">
        <v>374.4</v>
      </c>
      <c r="AX2" s="153">
        <v>369.9</v>
      </c>
      <c r="AY2" s="153">
        <v>298.5</v>
      </c>
      <c r="AZ2" s="153">
        <v>330.5</v>
      </c>
      <c r="BA2" s="153">
        <v>327.5</v>
      </c>
      <c r="BB2" s="153">
        <v>313</v>
      </c>
    </row>
    <row r="3" spans="1:61" ht="15.6" x14ac:dyDescent="0.3">
      <c r="A3" s="83">
        <v>197.2</v>
      </c>
      <c r="B3" s="83">
        <v>262.3</v>
      </c>
      <c r="C3" s="83">
        <v>274.5</v>
      </c>
      <c r="D3" s="83">
        <v>171.4</v>
      </c>
      <c r="E3" s="83">
        <v>207.8</v>
      </c>
      <c r="F3" s="84">
        <v>257</v>
      </c>
      <c r="G3" s="85">
        <v>285</v>
      </c>
      <c r="H3" s="85">
        <v>305</v>
      </c>
      <c r="I3" s="85">
        <v>316</v>
      </c>
      <c r="J3" s="85">
        <v>257</v>
      </c>
      <c r="K3" s="85">
        <v>299</v>
      </c>
      <c r="L3" s="85">
        <v>334</v>
      </c>
      <c r="M3" s="85">
        <v>311</v>
      </c>
      <c r="N3" s="85">
        <v>291</v>
      </c>
      <c r="O3" s="86">
        <v>229</v>
      </c>
      <c r="P3" s="87">
        <v>254</v>
      </c>
      <c r="Q3" s="153">
        <v>269</v>
      </c>
      <c r="R3" s="153">
        <v>254</v>
      </c>
      <c r="S3" s="153">
        <v>240</v>
      </c>
      <c r="T3" s="153">
        <v>255</v>
      </c>
      <c r="U3" s="88">
        <v>254</v>
      </c>
      <c r="V3">
        <v>151.19999999999999</v>
      </c>
      <c r="W3">
        <v>144</v>
      </c>
      <c r="X3">
        <v>140.6</v>
      </c>
      <c r="Y3">
        <v>256</v>
      </c>
      <c r="Z3">
        <v>245</v>
      </c>
      <c r="AA3">
        <v>271</v>
      </c>
      <c r="AB3">
        <v>270.60000000000002</v>
      </c>
      <c r="AC3">
        <v>278.8</v>
      </c>
      <c r="AD3">
        <v>286</v>
      </c>
      <c r="AE3">
        <v>288.10000000000002</v>
      </c>
      <c r="AF3" s="153">
        <v>285.10000000000002</v>
      </c>
      <c r="AG3" s="153">
        <v>280.10000000000002</v>
      </c>
      <c r="AH3" s="153">
        <v>247.6</v>
      </c>
      <c r="AI3" s="153">
        <v>295.7</v>
      </c>
      <c r="AJ3" s="153">
        <v>275.10000000000002</v>
      </c>
      <c r="AK3" s="153">
        <v>261</v>
      </c>
      <c r="AL3" s="153">
        <v>270.3</v>
      </c>
      <c r="AM3" s="153">
        <v>306.8</v>
      </c>
      <c r="AN3" s="153">
        <v>272</v>
      </c>
      <c r="AO3" s="153">
        <v>265.60000000000002</v>
      </c>
      <c r="AP3" s="153">
        <v>257.10000000000002</v>
      </c>
      <c r="AQ3" s="153">
        <v>204.8</v>
      </c>
      <c r="AR3" s="153">
        <v>220.6</v>
      </c>
      <c r="AS3" s="153">
        <v>281.39999999999998</v>
      </c>
      <c r="AT3" s="153">
        <v>291.39999999999998</v>
      </c>
      <c r="AU3" s="153">
        <v>275.2</v>
      </c>
      <c r="AV3" s="153">
        <v>267.39999999999998</v>
      </c>
      <c r="AW3" s="153">
        <v>255.5</v>
      </c>
      <c r="AX3" s="153">
        <v>257.2</v>
      </c>
      <c r="AY3" s="153">
        <v>291.7</v>
      </c>
      <c r="AZ3" s="153">
        <v>251.1</v>
      </c>
      <c r="BA3" s="153">
        <v>243.5</v>
      </c>
      <c r="BB3" s="153">
        <v>252.1</v>
      </c>
    </row>
    <row r="4" spans="1:61" ht="15.6" x14ac:dyDescent="0.3">
      <c r="A4" s="83">
        <v>694</v>
      </c>
      <c r="B4" s="83">
        <v>549</v>
      </c>
      <c r="C4" s="83">
        <v>602</v>
      </c>
      <c r="D4" s="83">
        <v>643</v>
      </c>
      <c r="E4" s="83">
        <v>642</v>
      </c>
      <c r="F4" s="84">
        <v>487.8</v>
      </c>
      <c r="G4" s="85">
        <v>500.4</v>
      </c>
      <c r="H4" s="85">
        <v>537</v>
      </c>
      <c r="I4" s="85">
        <v>489.1</v>
      </c>
      <c r="J4" s="85">
        <v>525.4</v>
      </c>
      <c r="K4" s="85">
        <v>456.5</v>
      </c>
      <c r="L4" s="85">
        <v>571.1</v>
      </c>
      <c r="M4" s="85">
        <v>484.4</v>
      </c>
      <c r="N4" s="85">
        <v>482.3</v>
      </c>
      <c r="O4" s="86">
        <v>526.20000000000005</v>
      </c>
      <c r="P4" s="87">
        <v>517</v>
      </c>
      <c r="Q4" s="153">
        <v>551.6</v>
      </c>
      <c r="R4" s="153">
        <v>523.5</v>
      </c>
      <c r="S4" s="153">
        <v>494.9</v>
      </c>
      <c r="T4" s="153">
        <v>494.3</v>
      </c>
      <c r="U4" s="88">
        <v>523.20000000000005</v>
      </c>
      <c r="V4">
        <v>465</v>
      </c>
      <c r="W4">
        <v>519</v>
      </c>
      <c r="X4">
        <v>535</v>
      </c>
      <c r="Y4">
        <v>543</v>
      </c>
      <c r="Z4">
        <v>460</v>
      </c>
      <c r="AA4">
        <v>481</v>
      </c>
      <c r="AB4">
        <v>521</v>
      </c>
      <c r="AC4">
        <v>538</v>
      </c>
      <c r="AD4">
        <v>556</v>
      </c>
      <c r="AE4">
        <v>535</v>
      </c>
      <c r="AF4" s="153">
        <v>464</v>
      </c>
      <c r="AG4" s="153">
        <v>447</v>
      </c>
      <c r="AH4" s="153">
        <v>521</v>
      </c>
      <c r="AI4" s="153">
        <v>499</v>
      </c>
      <c r="AJ4" s="153">
        <v>501</v>
      </c>
      <c r="AK4" s="153">
        <v>521</v>
      </c>
      <c r="AL4" s="153">
        <v>471</v>
      </c>
      <c r="AM4" s="153">
        <v>481</v>
      </c>
      <c r="AN4" s="153">
        <v>496</v>
      </c>
      <c r="AO4" s="153">
        <v>492</v>
      </c>
      <c r="AP4" s="153">
        <v>517</v>
      </c>
      <c r="AQ4" s="153">
        <v>482</v>
      </c>
      <c r="AR4" s="153">
        <v>507</v>
      </c>
      <c r="AS4" s="153">
        <v>497</v>
      </c>
      <c r="AT4" s="153">
        <v>491</v>
      </c>
      <c r="AU4" s="153">
        <v>497</v>
      </c>
      <c r="AV4" s="153">
        <v>547</v>
      </c>
      <c r="AW4" s="153">
        <v>527</v>
      </c>
      <c r="AX4" s="153">
        <v>521</v>
      </c>
      <c r="AY4" s="153">
        <v>529</v>
      </c>
      <c r="AZ4" s="153">
        <v>560</v>
      </c>
      <c r="BA4" s="153">
        <v>587</v>
      </c>
      <c r="BB4" s="153">
        <v>552</v>
      </c>
    </row>
    <row r="5" spans="1:61" ht="15.6" x14ac:dyDescent="0.3">
      <c r="A5" s="83">
        <v>448</v>
      </c>
      <c r="B5" s="83">
        <v>489</v>
      </c>
      <c r="C5" s="83">
        <v>475</v>
      </c>
      <c r="D5" s="83">
        <v>560</v>
      </c>
      <c r="E5" s="83">
        <v>493</v>
      </c>
      <c r="F5" s="84">
        <v>346.5</v>
      </c>
      <c r="G5" s="85">
        <v>254.8</v>
      </c>
      <c r="H5" s="85">
        <v>264.89999999999998</v>
      </c>
      <c r="I5" s="85">
        <v>226.7</v>
      </c>
      <c r="J5" s="85">
        <v>229.2</v>
      </c>
      <c r="K5" s="85">
        <v>250.2</v>
      </c>
      <c r="L5" s="85">
        <v>234.4</v>
      </c>
      <c r="M5" s="85">
        <v>328</v>
      </c>
      <c r="N5" s="85">
        <v>279.3</v>
      </c>
      <c r="O5" s="86">
        <v>238.1</v>
      </c>
      <c r="P5" s="87">
        <v>297.10000000000002</v>
      </c>
      <c r="Q5" s="153">
        <v>293</v>
      </c>
      <c r="R5" s="153">
        <v>283.2</v>
      </c>
      <c r="S5" s="153">
        <v>298.60000000000002</v>
      </c>
      <c r="T5" s="153">
        <v>247.6</v>
      </c>
      <c r="U5" s="88">
        <v>303.5</v>
      </c>
      <c r="V5">
        <v>231</v>
      </c>
      <c r="W5">
        <v>259</v>
      </c>
      <c r="X5">
        <v>247</v>
      </c>
      <c r="Y5">
        <v>245</v>
      </c>
      <c r="Z5">
        <v>231</v>
      </c>
      <c r="AA5">
        <v>226</v>
      </c>
      <c r="AB5">
        <v>271</v>
      </c>
      <c r="AC5">
        <v>279</v>
      </c>
      <c r="AD5">
        <v>305</v>
      </c>
      <c r="AE5">
        <v>308</v>
      </c>
      <c r="AF5" s="153">
        <v>198</v>
      </c>
      <c r="AG5" s="153">
        <v>275</v>
      </c>
      <c r="AH5" s="153">
        <v>282</v>
      </c>
      <c r="AI5" s="153">
        <v>275</v>
      </c>
      <c r="AJ5" s="153">
        <v>267</v>
      </c>
      <c r="AK5" s="153">
        <v>265</v>
      </c>
      <c r="AL5" s="153">
        <v>268</v>
      </c>
      <c r="AM5" s="153">
        <v>290</v>
      </c>
      <c r="AN5" s="153">
        <v>285</v>
      </c>
      <c r="AO5" s="153">
        <v>251</v>
      </c>
      <c r="AP5" s="153">
        <v>267</v>
      </c>
      <c r="AQ5" s="153">
        <v>259</v>
      </c>
      <c r="AR5" s="153">
        <v>273</v>
      </c>
      <c r="AS5" s="153">
        <v>298</v>
      </c>
      <c r="AT5" s="153">
        <v>270</v>
      </c>
      <c r="AU5" s="153">
        <v>259</v>
      </c>
      <c r="AV5" s="153">
        <v>284</v>
      </c>
      <c r="AW5" s="153">
        <v>285</v>
      </c>
      <c r="AX5" s="153">
        <v>265</v>
      </c>
      <c r="AY5" s="153">
        <v>262</v>
      </c>
      <c r="AZ5" s="153">
        <v>258</v>
      </c>
      <c r="BA5" s="153">
        <v>251</v>
      </c>
      <c r="BB5" s="153">
        <v>281</v>
      </c>
    </row>
    <row r="6" spans="1:61" ht="15.6" x14ac:dyDescent="0.3">
      <c r="A6" s="83">
        <v>484.8</v>
      </c>
      <c r="B6" s="83">
        <v>518.6</v>
      </c>
      <c r="C6" s="83">
        <v>510.5</v>
      </c>
      <c r="D6" s="83">
        <v>466.2</v>
      </c>
      <c r="E6" s="83">
        <v>504.1</v>
      </c>
      <c r="F6" s="84">
        <v>288.39999999999998</v>
      </c>
      <c r="G6" s="85">
        <v>324.7</v>
      </c>
      <c r="H6" s="85">
        <v>307.60000000000002</v>
      </c>
      <c r="I6" s="85">
        <v>348</v>
      </c>
      <c r="J6" s="85">
        <v>343.4</v>
      </c>
      <c r="K6" s="85">
        <v>363.4</v>
      </c>
      <c r="L6" s="85">
        <v>292</v>
      </c>
      <c r="M6" s="85">
        <v>299.10000000000002</v>
      </c>
      <c r="N6" s="85">
        <v>347.7</v>
      </c>
      <c r="O6" s="86">
        <v>344.4</v>
      </c>
      <c r="P6" s="87">
        <v>319.5</v>
      </c>
      <c r="Q6" s="153">
        <v>316.60000000000002</v>
      </c>
      <c r="R6" s="153">
        <v>319.7</v>
      </c>
      <c r="S6" s="153">
        <v>317.10000000000002</v>
      </c>
      <c r="T6" s="153">
        <v>349.6</v>
      </c>
      <c r="U6" s="88">
        <v>331.7</v>
      </c>
      <c r="V6">
        <v>405.1</v>
      </c>
      <c r="W6">
        <v>355.6</v>
      </c>
      <c r="X6">
        <v>321.39999999999998</v>
      </c>
      <c r="Y6">
        <v>321.10000000000002</v>
      </c>
      <c r="Z6">
        <v>346.5</v>
      </c>
      <c r="AA6">
        <v>337.6</v>
      </c>
      <c r="AB6">
        <v>349.8</v>
      </c>
      <c r="AC6">
        <v>352.4</v>
      </c>
      <c r="AD6">
        <v>332.4</v>
      </c>
      <c r="AE6">
        <v>319.39999999999998</v>
      </c>
      <c r="AF6" s="4">
        <v>351.6</v>
      </c>
      <c r="AG6" s="4">
        <v>373.1</v>
      </c>
      <c r="AH6" s="4">
        <v>325</v>
      </c>
      <c r="AI6" s="4">
        <v>331.1</v>
      </c>
      <c r="AJ6" s="4">
        <v>332.7</v>
      </c>
      <c r="AK6" s="4">
        <v>346.8</v>
      </c>
      <c r="AL6" s="4">
        <v>355.4</v>
      </c>
      <c r="AM6" s="4">
        <v>324.89999999999998</v>
      </c>
      <c r="AN6" s="4">
        <v>344</v>
      </c>
      <c r="AO6" s="4">
        <v>387.5</v>
      </c>
      <c r="AP6" s="4">
        <v>333</v>
      </c>
      <c r="AQ6" s="4">
        <v>341.5</v>
      </c>
      <c r="AR6" s="4">
        <v>313.10000000000002</v>
      </c>
      <c r="AS6" s="4">
        <v>373.7</v>
      </c>
      <c r="AT6" s="4">
        <v>334.8</v>
      </c>
      <c r="AU6" s="4">
        <v>388.5</v>
      </c>
      <c r="AV6" s="4">
        <v>316.60000000000002</v>
      </c>
      <c r="AW6" s="4">
        <v>318.7</v>
      </c>
      <c r="AX6" s="4">
        <v>334.7</v>
      </c>
      <c r="AY6" s="4">
        <v>369</v>
      </c>
      <c r="AZ6" s="4">
        <v>339.5</v>
      </c>
      <c r="BA6" s="4">
        <v>343.6</v>
      </c>
      <c r="BB6" s="4">
        <v>345.5</v>
      </c>
    </row>
    <row r="7" spans="1:61" ht="15.6" x14ac:dyDescent="0.3">
      <c r="A7" s="89">
        <v>2224.1</v>
      </c>
      <c r="B7" s="89">
        <v>2277.6999999999998</v>
      </c>
      <c r="C7" s="89">
        <v>2280.9</v>
      </c>
      <c r="D7" s="89">
        <v>2297</v>
      </c>
      <c r="E7" s="89">
        <v>2286.4</v>
      </c>
      <c r="F7" s="90">
        <v>1719.1999999999998</v>
      </c>
      <c r="G7" s="91">
        <v>1699.6</v>
      </c>
      <c r="H7" s="91">
        <v>1699.4</v>
      </c>
      <c r="I7" s="91">
        <v>1722.3</v>
      </c>
      <c r="J7" s="91">
        <v>1708.2999999999997</v>
      </c>
      <c r="K7" s="91">
        <v>1718.9</v>
      </c>
      <c r="L7" s="91">
        <v>1712.9</v>
      </c>
      <c r="M7" s="91">
        <v>1720.2999999999997</v>
      </c>
      <c r="N7" s="91">
        <v>1723.2</v>
      </c>
      <c r="O7" s="92">
        <v>1725.6</v>
      </c>
      <c r="P7" s="93">
        <v>1725.6999999999998</v>
      </c>
      <c r="Q7" s="94">
        <v>1738</v>
      </c>
      <c r="R7" s="94">
        <v>1723.9</v>
      </c>
      <c r="S7" s="94">
        <v>1713.6</v>
      </c>
      <c r="T7" s="94">
        <v>1719.6999999999998</v>
      </c>
      <c r="U7" s="95">
        <v>1728.6000000000001</v>
      </c>
      <c r="V7">
        <v>1689.3000000000002</v>
      </c>
      <c r="W7">
        <v>1704.8000000000002</v>
      </c>
      <c r="X7">
        <v>1693.5</v>
      </c>
      <c r="Y7">
        <v>1685.9</v>
      </c>
      <c r="Z7">
        <v>1661.4</v>
      </c>
      <c r="AA7">
        <v>1669.1999999999998</v>
      </c>
      <c r="AB7">
        <v>1786.2</v>
      </c>
      <c r="AC7">
        <v>1799.3000000000002</v>
      </c>
      <c r="AD7">
        <v>1818.1999999999998</v>
      </c>
      <c r="AE7">
        <v>1786.1</v>
      </c>
      <c r="AF7" s="5">
        <v>1642.4</v>
      </c>
      <c r="AG7" s="5">
        <v>1709.5</v>
      </c>
      <c r="AH7" s="5">
        <v>1698.5</v>
      </c>
      <c r="AI7" s="5">
        <v>1729.4</v>
      </c>
      <c r="AJ7" s="5">
        <v>1704</v>
      </c>
      <c r="AK7" s="5">
        <v>1718.1</v>
      </c>
      <c r="AL7" s="5">
        <v>1701.6999999999998</v>
      </c>
      <c r="AM7" s="5">
        <v>1714.9</v>
      </c>
      <c r="AN7" s="5">
        <v>1714</v>
      </c>
      <c r="AO7" s="5">
        <v>1730.9</v>
      </c>
      <c r="AP7" s="5">
        <v>1723.4</v>
      </c>
      <c r="AQ7" s="5">
        <v>1717.5</v>
      </c>
      <c r="AR7" s="5">
        <v>1703.1999999999998</v>
      </c>
      <c r="AS7" s="5">
        <v>1750.1000000000001</v>
      </c>
      <c r="AT7" s="5">
        <v>1735.1</v>
      </c>
      <c r="AU7" s="5">
        <v>1767</v>
      </c>
      <c r="AV7" s="5">
        <v>1752.4</v>
      </c>
      <c r="AW7" s="5">
        <v>1760.6000000000001</v>
      </c>
      <c r="AX7" s="5">
        <v>1747.8</v>
      </c>
      <c r="AY7" s="5">
        <v>1750.2</v>
      </c>
      <c r="AZ7" s="5">
        <v>1739.1</v>
      </c>
      <c r="BA7" s="5">
        <v>1752.6</v>
      </c>
      <c r="BB7" s="5">
        <v>1743.6</v>
      </c>
    </row>
    <row r="8" spans="1:61" ht="15.6" x14ac:dyDescent="0.3">
      <c r="A8" s="83">
        <v>1944.8</v>
      </c>
      <c r="B8" s="83">
        <v>1837.3</v>
      </c>
      <c r="C8" s="83">
        <v>1858.1</v>
      </c>
      <c r="D8" s="83">
        <v>1860.2</v>
      </c>
      <c r="E8" s="83">
        <v>1841.6</v>
      </c>
      <c r="F8" s="84">
        <v>1943.4</v>
      </c>
      <c r="G8" s="85">
        <v>1904.1</v>
      </c>
      <c r="H8" s="85">
        <v>1904.5</v>
      </c>
      <c r="I8" s="85">
        <v>1842.2</v>
      </c>
      <c r="J8" s="85">
        <v>1854.8</v>
      </c>
      <c r="K8" s="85">
        <v>1839.1</v>
      </c>
      <c r="L8" s="85">
        <v>1900</v>
      </c>
      <c r="M8" s="85">
        <v>1910.3</v>
      </c>
      <c r="N8" s="85">
        <v>1898.5</v>
      </c>
      <c r="O8" s="86">
        <v>1839.5</v>
      </c>
      <c r="P8" s="87">
        <v>1896.5</v>
      </c>
      <c r="Q8" s="153">
        <v>1899.4</v>
      </c>
      <c r="R8" s="153">
        <v>1885.8</v>
      </c>
      <c r="S8" s="153">
        <v>1812.8</v>
      </c>
      <c r="T8" s="153">
        <v>1806.9</v>
      </c>
      <c r="U8" s="88">
        <v>1893.4</v>
      </c>
      <c r="V8">
        <v>1783.8</v>
      </c>
      <c r="W8">
        <v>1802.4</v>
      </c>
      <c r="X8">
        <v>1725.4</v>
      </c>
      <c r="Y8">
        <v>1925.3</v>
      </c>
      <c r="Z8">
        <v>1855.6</v>
      </c>
      <c r="AA8">
        <v>1849.8</v>
      </c>
      <c r="AB8">
        <v>1821.1</v>
      </c>
      <c r="AC8">
        <v>1842.3</v>
      </c>
      <c r="AD8">
        <v>1863.5</v>
      </c>
      <c r="AE8">
        <v>1827.6</v>
      </c>
      <c r="AF8" s="153">
        <v>1882.8</v>
      </c>
      <c r="AG8" s="153">
        <v>1889.1</v>
      </c>
      <c r="AH8" s="153">
        <v>1911.4</v>
      </c>
      <c r="AI8" s="153">
        <v>1852</v>
      </c>
      <c r="AJ8" s="153">
        <v>1938.1</v>
      </c>
      <c r="AK8" s="153">
        <v>1902.2</v>
      </c>
      <c r="AL8" s="153">
        <v>1903.4</v>
      </c>
      <c r="AM8" s="153">
        <v>1884.5</v>
      </c>
      <c r="AN8" s="153">
        <v>1883.3</v>
      </c>
      <c r="AO8" s="153">
        <v>1927.2</v>
      </c>
      <c r="AP8" s="153">
        <v>1890.3</v>
      </c>
      <c r="AQ8" s="153">
        <v>1771.4</v>
      </c>
      <c r="AR8" s="153">
        <v>1855.4</v>
      </c>
      <c r="AS8" s="153">
        <v>1901.6</v>
      </c>
      <c r="AT8" s="153">
        <v>1854.8</v>
      </c>
      <c r="AU8" s="153">
        <v>1846.9</v>
      </c>
      <c r="AV8" s="153">
        <v>1833.3</v>
      </c>
      <c r="AW8" s="153">
        <v>1795.1</v>
      </c>
      <c r="AX8" s="153">
        <v>1830.5</v>
      </c>
      <c r="AY8" s="153">
        <v>1954.2</v>
      </c>
      <c r="AZ8" s="153">
        <v>1888.1</v>
      </c>
      <c r="BA8" s="153">
        <v>1898.6</v>
      </c>
      <c r="BB8" s="153">
        <v>1967.4</v>
      </c>
    </row>
    <row r="9" spans="1:61" ht="15.6" x14ac:dyDescent="0.3">
      <c r="A9" s="83">
        <v>1463.6</v>
      </c>
      <c r="B9" s="83">
        <v>1318.8</v>
      </c>
      <c r="C9" s="83">
        <v>1449.7</v>
      </c>
      <c r="D9" s="83">
        <v>1265.2</v>
      </c>
      <c r="E9" s="83">
        <v>1367.1</v>
      </c>
      <c r="F9" s="84">
        <v>1429</v>
      </c>
      <c r="G9" s="85">
        <v>1515</v>
      </c>
      <c r="H9" s="85">
        <v>1587</v>
      </c>
      <c r="I9" s="85">
        <v>1541</v>
      </c>
      <c r="J9" s="85">
        <v>1580</v>
      </c>
      <c r="K9" s="85">
        <v>1586</v>
      </c>
      <c r="L9" s="85">
        <v>1540</v>
      </c>
      <c r="M9" s="85">
        <v>1540</v>
      </c>
      <c r="N9" s="85">
        <v>1535</v>
      </c>
      <c r="O9" s="86">
        <v>1559</v>
      </c>
      <c r="P9" s="87">
        <v>1528</v>
      </c>
      <c r="Q9" s="153">
        <v>1564</v>
      </c>
      <c r="R9" s="153">
        <v>1563</v>
      </c>
      <c r="S9" s="153">
        <v>1647</v>
      </c>
      <c r="T9" s="153">
        <v>1639</v>
      </c>
      <c r="U9" s="88">
        <v>1576</v>
      </c>
      <c r="V9">
        <v>1743</v>
      </c>
      <c r="W9">
        <v>1587.2</v>
      </c>
      <c r="X9">
        <v>1667.5</v>
      </c>
      <c r="Y9">
        <v>1468</v>
      </c>
      <c r="Z9">
        <v>1534.4</v>
      </c>
      <c r="AA9">
        <v>1516.9</v>
      </c>
      <c r="AB9">
        <v>1594.5</v>
      </c>
      <c r="AC9">
        <v>1551.4</v>
      </c>
      <c r="AD9">
        <v>1515.2</v>
      </c>
      <c r="AE9">
        <v>1590.3</v>
      </c>
      <c r="AF9" s="153">
        <v>1587.2</v>
      </c>
      <c r="AG9" s="153">
        <v>1553.9</v>
      </c>
      <c r="AH9" s="153">
        <v>1615.4</v>
      </c>
      <c r="AI9" s="153">
        <v>1564.8</v>
      </c>
      <c r="AJ9" s="153">
        <v>1529.4</v>
      </c>
      <c r="AK9" s="153">
        <v>1568.5</v>
      </c>
      <c r="AL9" s="153">
        <v>1555.5</v>
      </c>
      <c r="AM9" s="153">
        <v>1581.5</v>
      </c>
      <c r="AN9" s="153">
        <v>1566.3</v>
      </c>
      <c r="AO9" s="153">
        <v>1509.1</v>
      </c>
      <c r="AP9" s="153">
        <v>1527.3</v>
      </c>
      <c r="AQ9" s="153">
        <v>1670.5</v>
      </c>
      <c r="AR9" s="153">
        <v>1597.7</v>
      </c>
      <c r="AS9" s="153">
        <v>1567</v>
      </c>
      <c r="AT9" s="153">
        <v>1559.3</v>
      </c>
      <c r="AU9" s="153">
        <v>1570.7</v>
      </c>
      <c r="AV9" s="153">
        <v>1595.2</v>
      </c>
      <c r="AW9" s="153">
        <v>1634.3</v>
      </c>
      <c r="AX9" s="153">
        <v>1558.6</v>
      </c>
      <c r="AY9" s="153">
        <v>1565.9</v>
      </c>
      <c r="AZ9" s="153">
        <v>1556.4</v>
      </c>
      <c r="BA9" s="153">
        <v>1591</v>
      </c>
      <c r="BB9" s="153">
        <v>1531.5</v>
      </c>
      <c r="BF9" s="152"/>
      <c r="BG9" s="152" t="s">
        <v>74</v>
      </c>
      <c r="BH9" s="152" t="s">
        <v>75</v>
      </c>
      <c r="BI9" s="152" t="s">
        <v>76</v>
      </c>
    </row>
    <row r="10" spans="1:61" ht="15.6" x14ac:dyDescent="0.3">
      <c r="A10" s="83">
        <v>2500.1</v>
      </c>
      <c r="B10" s="83">
        <v>2847.4</v>
      </c>
      <c r="C10" s="83">
        <v>2711.3</v>
      </c>
      <c r="D10" s="83">
        <v>2914.5</v>
      </c>
      <c r="E10" s="83">
        <v>2753.5</v>
      </c>
      <c r="F10" s="84">
        <v>2757.5</v>
      </c>
      <c r="G10" s="85">
        <v>2715.3</v>
      </c>
      <c r="H10" s="85">
        <v>2688.6</v>
      </c>
      <c r="I10" s="85">
        <v>2782.3</v>
      </c>
      <c r="J10" s="85">
        <v>2749</v>
      </c>
      <c r="K10" s="85">
        <v>2791</v>
      </c>
      <c r="L10" s="85">
        <v>2688.4</v>
      </c>
      <c r="M10" s="85">
        <v>2742.8</v>
      </c>
      <c r="N10" s="85">
        <v>2793.2</v>
      </c>
      <c r="O10" s="86">
        <v>2775.5</v>
      </c>
      <c r="P10" s="87">
        <v>2722.2</v>
      </c>
      <c r="Q10" s="153">
        <v>2718.1</v>
      </c>
      <c r="R10" s="153">
        <v>2728.8</v>
      </c>
      <c r="S10" s="153">
        <v>2734.6</v>
      </c>
      <c r="T10" s="153">
        <v>2745.7</v>
      </c>
      <c r="U10" s="88">
        <v>2724.7</v>
      </c>
      <c r="V10">
        <v>2794.9</v>
      </c>
      <c r="W10">
        <v>2738.4</v>
      </c>
      <c r="X10">
        <v>2701.4</v>
      </c>
      <c r="Y10">
        <v>2743.1</v>
      </c>
      <c r="Z10">
        <v>2762.4</v>
      </c>
      <c r="AA10">
        <v>2792.9</v>
      </c>
      <c r="AB10">
        <v>2626.5</v>
      </c>
      <c r="AC10">
        <v>2697.5</v>
      </c>
      <c r="AD10">
        <v>2685.6</v>
      </c>
      <c r="AE10">
        <v>2661.8</v>
      </c>
      <c r="AF10" s="153">
        <v>2722.6</v>
      </c>
      <c r="AG10" s="153">
        <v>2750.7</v>
      </c>
      <c r="AH10" s="153">
        <v>2663.7</v>
      </c>
      <c r="AI10" s="153">
        <v>2735.5</v>
      </c>
      <c r="AJ10" s="153">
        <v>2661</v>
      </c>
      <c r="AK10" s="153">
        <v>2692.3</v>
      </c>
      <c r="AL10" s="153">
        <v>2729.5</v>
      </c>
      <c r="AM10" s="153">
        <v>2697</v>
      </c>
      <c r="AN10" s="153">
        <v>2759</v>
      </c>
      <c r="AO10" s="153">
        <v>2730.1</v>
      </c>
      <c r="AP10" s="153">
        <v>2730.9</v>
      </c>
      <c r="AQ10" s="153">
        <v>2734.9</v>
      </c>
      <c r="AR10" s="153">
        <v>2683.1</v>
      </c>
      <c r="AS10" s="153">
        <v>2776.1</v>
      </c>
      <c r="AT10" s="153">
        <v>2771.2</v>
      </c>
      <c r="AU10" s="153">
        <v>2783.1</v>
      </c>
      <c r="AV10" s="153">
        <v>2742.2</v>
      </c>
      <c r="AW10" s="153">
        <v>2702.8</v>
      </c>
      <c r="AX10" s="153">
        <v>2766</v>
      </c>
      <c r="AY10" s="153">
        <v>2603.1999999999998</v>
      </c>
      <c r="AZ10" s="153">
        <v>2705.6</v>
      </c>
      <c r="BA10" s="153">
        <v>2629.7</v>
      </c>
      <c r="BB10" s="153">
        <v>2621.7</v>
      </c>
      <c r="BF10" s="152" t="s">
        <v>77</v>
      </c>
      <c r="BG10" s="131">
        <f>AVERAGE(F14:U14)</f>
        <v>11330.212500000001</v>
      </c>
      <c r="BH10" s="131">
        <f>AVERAGE(AG14:AP14)</f>
        <v>11320.7</v>
      </c>
      <c r="BI10" s="61">
        <f>ABS((BG10-BH10)/BG10)</f>
        <v>8.3956942555143835E-4</v>
      </c>
    </row>
    <row r="11" spans="1:61" ht="15.6" x14ac:dyDescent="0.3">
      <c r="A11" s="83">
        <v>1378.1</v>
      </c>
      <c r="B11" s="83">
        <v>1369.8</v>
      </c>
      <c r="C11" s="83">
        <v>1180.4000000000001</v>
      </c>
      <c r="D11" s="83">
        <v>1303.8</v>
      </c>
      <c r="E11" s="83">
        <v>1419.5</v>
      </c>
      <c r="F11" s="84">
        <v>1681.5</v>
      </c>
      <c r="G11" s="85">
        <v>1661.8</v>
      </c>
      <c r="H11" s="85">
        <v>1556.4</v>
      </c>
      <c r="I11" s="85">
        <v>1629.2</v>
      </c>
      <c r="J11" s="85">
        <v>1595.5</v>
      </c>
      <c r="K11" s="85">
        <v>1552.8</v>
      </c>
      <c r="L11" s="85">
        <v>1611.4</v>
      </c>
      <c r="M11" s="85">
        <v>1541.9</v>
      </c>
      <c r="N11" s="85">
        <v>1519.1</v>
      </c>
      <c r="O11" s="86">
        <v>1604.7</v>
      </c>
      <c r="P11" s="87">
        <v>1649.9</v>
      </c>
      <c r="Q11" s="153">
        <v>1546.1</v>
      </c>
      <c r="R11" s="153">
        <v>1546.1</v>
      </c>
      <c r="S11" s="153">
        <v>1581.7</v>
      </c>
      <c r="T11" s="153">
        <v>1578.1</v>
      </c>
      <c r="U11" s="88">
        <v>1577.4</v>
      </c>
      <c r="V11">
        <v>1652.9</v>
      </c>
      <c r="W11">
        <v>1636.2</v>
      </c>
      <c r="X11">
        <v>1678.7</v>
      </c>
      <c r="Y11">
        <v>1576.1</v>
      </c>
      <c r="Z11">
        <v>1593.2</v>
      </c>
      <c r="AA11">
        <v>1596.9</v>
      </c>
      <c r="AB11">
        <v>1602.5</v>
      </c>
      <c r="AC11">
        <v>1528.5</v>
      </c>
      <c r="AD11">
        <v>1551.2</v>
      </c>
      <c r="AE11">
        <v>1556.3</v>
      </c>
      <c r="AF11" s="153">
        <v>1595.5</v>
      </c>
      <c r="AG11" s="153">
        <v>1603.3</v>
      </c>
      <c r="AH11" s="153">
        <v>1495</v>
      </c>
      <c r="AI11" s="153">
        <v>1624.2</v>
      </c>
      <c r="AJ11" s="153">
        <v>1603.3</v>
      </c>
      <c r="AK11" s="153">
        <v>1581.5</v>
      </c>
      <c r="AL11" s="153">
        <v>1566</v>
      </c>
      <c r="AM11" s="153">
        <v>1573</v>
      </c>
      <c r="AN11" s="153">
        <v>1558</v>
      </c>
      <c r="AO11" s="153">
        <v>1608.9</v>
      </c>
      <c r="AP11" s="153">
        <v>1607.5</v>
      </c>
      <c r="AQ11" s="153">
        <v>1550</v>
      </c>
      <c r="AR11" s="153">
        <v>1584.5</v>
      </c>
      <c r="AS11" s="153">
        <v>1504.9</v>
      </c>
      <c r="AT11" s="153">
        <v>1549.3</v>
      </c>
      <c r="AU11" s="153">
        <v>1556.8</v>
      </c>
      <c r="AV11" s="153">
        <v>1559.4</v>
      </c>
      <c r="AW11" s="153">
        <v>1608.4</v>
      </c>
      <c r="AX11" s="153">
        <v>1612.5</v>
      </c>
      <c r="AY11" s="153">
        <v>1590.8</v>
      </c>
      <c r="AZ11" s="153">
        <v>1610.6</v>
      </c>
      <c r="BA11" s="153">
        <v>1603.3</v>
      </c>
      <c r="BB11" s="153">
        <v>1595.8</v>
      </c>
      <c r="BF11" s="152" t="s">
        <v>78</v>
      </c>
      <c r="BG11" s="132">
        <f>AVERAGE(F15:U15)</f>
        <v>0.37544358875198619</v>
      </c>
      <c r="BH11" s="132">
        <f>AVERAGE(AG15:AP15)</f>
        <v>0.37567255581666087</v>
      </c>
      <c r="BI11" s="61">
        <f t="shared" ref="BI11:BI17" si="0">ABS((BG11-BH11)/BG11)</f>
        <v>6.0985743673447551E-4</v>
      </c>
    </row>
    <row r="12" spans="1:61" ht="15.6" x14ac:dyDescent="0.3">
      <c r="A12" s="83">
        <v>1769.5</v>
      </c>
      <c r="B12" s="83">
        <v>1633.2</v>
      </c>
      <c r="C12" s="83">
        <v>1795.1</v>
      </c>
      <c r="D12" s="83">
        <v>1636.4</v>
      </c>
      <c r="E12" s="83">
        <v>1606.8</v>
      </c>
      <c r="F12" s="84">
        <v>1800.7</v>
      </c>
      <c r="G12" s="85">
        <v>1832.6</v>
      </c>
      <c r="H12" s="85">
        <v>1890.7</v>
      </c>
      <c r="I12" s="85">
        <v>1814.4</v>
      </c>
      <c r="J12" s="85">
        <v>1845.9</v>
      </c>
      <c r="K12" s="85">
        <v>1841.5</v>
      </c>
      <c r="L12" s="85">
        <v>1880</v>
      </c>
      <c r="M12" s="85">
        <v>1876.5</v>
      </c>
      <c r="N12" s="85">
        <v>1862.3</v>
      </c>
      <c r="O12" s="86">
        <v>1829.3</v>
      </c>
      <c r="P12" s="87">
        <v>1808.6</v>
      </c>
      <c r="Q12" s="153">
        <v>1862.9</v>
      </c>
      <c r="R12" s="153">
        <v>1881.7</v>
      </c>
      <c r="S12" s="153">
        <v>1837.5</v>
      </c>
      <c r="T12" s="153">
        <v>1840.2</v>
      </c>
      <c r="U12" s="88">
        <v>1827.9</v>
      </c>
      <c r="V12">
        <v>1776.9</v>
      </c>
      <c r="W12">
        <v>1825.5</v>
      </c>
      <c r="X12">
        <v>1827.7</v>
      </c>
      <c r="Y12">
        <v>1899.9</v>
      </c>
      <c r="Z12">
        <v>1890.1</v>
      </c>
      <c r="AA12">
        <v>1872.3</v>
      </c>
      <c r="AB12">
        <v>1861.4</v>
      </c>
      <c r="AC12">
        <v>1871.2</v>
      </c>
      <c r="AD12">
        <v>1859.6</v>
      </c>
      <c r="AE12">
        <v>1870.1</v>
      </c>
      <c r="AF12" s="153">
        <v>1896.7</v>
      </c>
      <c r="AG12" s="153">
        <v>1813.2</v>
      </c>
      <c r="AH12" s="153">
        <v>1936.6</v>
      </c>
      <c r="AI12" s="153">
        <v>1816</v>
      </c>
      <c r="AJ12" s="153">
        <v>1885.9</v>
      </c>
      <c r="AK12" s="153">
        <v>1855</v>
      </c>
      <c r="AL12" s="153">
        <v>1863</v>
      </c>
      <c r="AM12" s="153">
        <v>1868</v>
      </c>
      <c r="AN12" s="153">
        <v>1841</v>
      </c>
      <c r="AO12" s="153">
        <v>1816.7</v>
      </c>
      <c r="AP12" s="153">
        <v>1843.6</v>
      </c>
      <c r="AQ12" s="153">
        <v>1875</v>
      </c>
      <c r="AR12" s="153">
        <v>1897</v>
      </c>
      <c r="AS12" s="153">
        <v>1836.7</v>
      </c>
      <c r="AT12" s="153">
        <v>1867.3</v>
      </c>
      <c r="AU12" s="153">
        <v>1810.1</v>
      </c>
      <c r="AV12" s="153">
        <v>1849.7</v>
      </c>
      <c r="AW12" s="153">
        <v>1835.1</v>
      </c>
      <c r="AX12" s="153">
        <v>1820.5</v>
      </c>
      <c r="AY12" s="153">
        <v>1873.4</v>
      </c>
      <c r="AZ12" s="153">
        <v>1837.4</v>
      </c>
      <c r="BA12" s="153">
        <v>1859.7</v>
      </c>
      <c r="BB12" s="153">
        <v>1876.6</v>
      </c>
      <c r="BF12" s="152" t="s">
        <v>79</v>
      </c>
      <c r="BG12" s="129">
        <f>AVERAGE(F26:U26)</f>
        <v>-2.1361599712516815E-2</v>
      </c>
      <c r="BH12" s="129">
        <f>AVERAGE(AG26:AP26)</f>
        <v>-1.3802203670895663E-2</v>
      </c>
      <c r="BI12" s="61">
        <f t="shared" si="0"/>
        <v>0.35387780612665115</v>
      </c>
    </row>
    <row r="13" spans="1:61" ht="15.6" x14ac:dyDescent="0.3">
      <c r="A13" s="89">
        <v>9056.1</v>
      </c>
      <c r="B13" s="89">
        <v>9006.5</v>
      </c>
      <c r="C13" s="89">
        <v>8994.6</v>
      </c>
      <c r="D13" s="89">
        <v>8980.1</v>
      </c>
      <c r="E13" s="89">
        <v>8988.5</v>
      </c>
      <c r="F13" s="90">
        <v>9612.1</v>
      </c>
      <c r="G13" s="91">
        <v>9628.7999999999993</v>
      </c>
      <c r="H13" s="91">
        <v>9627.2000000000007</v>
      </c>
      <c r="I13" s="91">
        <v>9609.1</v>
      </c>
      <c r="J13" s="91">
        <v>9625.2000000000007</v>
      </c>
      <c r="K13" s="91">
        <v>9610.4000000000015</v>
      </c>
      <c r="L13" s="91">
        <v>9619.7999999999993</v>
      </c>
      <c r="M13" s="91">
        <v>9611.5</v>
      </c>
      <c r="N13" s="91">
        <v>9608.0999999999985</v>
      </c>
      <c r="O13" s="92">
        <v>9608</v>
      </c>
      <c r="P13" s="93">
        <v>9605.2000000000007</v>
      </c>
      <c r="Q13" s="94">
        <v>9590.5</v>
      </c>
      <c r="R13" s="94">
        <v>9605.4000000000015</v>
      </c>
      <c r="S13" s="94">
        <v>9613.5999999999985</v>
      </c>
      <c r="T13" s="94">
        <v>9609.9000000000015</v>
      </c>
      <c r="U13" s="95">
        <v>9599.4</v>
      </c>
      <c r="V13">
        <v>9751.5</v>
      </c>
      <c r="W13">
        <v>9589.7000000000007</v>
      </c>
      <c r="X13">
        <v>9600.7000000000007</v>
      </c>
      <c r="Y13">
        <v>9612.4</v>
      </c>
      <c r="Z13">
        <v>9635.6999999999989</v>
      </c>
      <c r="AA13">
        <v>9628.7999999999993</v>
      </c>
      <c r="AB13">
        <v>9506</v>
      </c>
      <c r="AC13">
        <v>9490.9</v>
      </c>
      <c r="AD13">
        <v>9475.0999999999985</v>
      </c>
      <c r="AE13">
        <v>9506.1</v>
      </c>
      <c r="AF13" s="5">
        <v>9684.8000000000011</v>
      </c>
      <c r="AG13" s="5">
        <v>9610.2000000000007</v>
      </c>
      <c r="AH13" s="5">
        <v>9622.1</v>
      </c>
      <c r="AI13" s="5">
        <v>9592.5</v>
      </c>
      <c r="AJ13" s="5">
        <v>9617.7000000000007</v>
      </c>
      <c r="AK13" s="5">
        <v>9599.5</v>
      </c>
      <c r="AL13" s="5">
        <v>9617.4</v>
      </c>
      <c r="AM13" s="5">
        <v>9604</v>
      </c>
      <c r="AN13" s="5">
        <v>9607.6</v>
      </c>
      <c r="AO13" s="5">
        <v>9592</v>
      </c>
      <c r="AP13" s="5">
        <v>9599.6</v>
      </c>
      <c r="AQ13" s="5">
        <v>9601.7999999999993</v>
      </c>
      <c r="AR13" s="5">
        <v>9617.7000000000007</v>
      </c>
      <c r="AS13" s="5">
        <v>9586.3000000000011</v>
      </c>
      <c r="AT13" s="5">
        <v>9601.9</v>
      </c>
      <c r="AU13" s="5">
        <v>9567.6</v>
      </c>
      <c r="AV13" s="5">
        <v>9579.8000000000011</v>
      </c>
      <c r="AW13" s="5">
        <v>9575.7000000000007</v>
      </c>
      <c r="AX13" s="5">
        <v>9588.1</v>
      </c>
      <c r="AY13" s="5">
        <v>9587.5</v>
      </c>
      <c r="AZ13" s="5">
        <v>9598.1</v>
      </c>
      <c r="BA13" s="5">
        <v>9582.2999999999993</v>
      </c>
      <c r="BB13" s="5">
        <v>9593</v>
      </c>
      <c r="BF13" s="152" t="s">
        <v>80</v>
      </c>
      <c r="BG13" s="60">
        <f>AVERAGE(F16:U16)</f>
        <v>2210.4812499999998</v>
      </c>
      <c r="BH13" s="60">
        <f>AVERAGE(AF16:AR16)</f>
        <v>2226.3923076923074</v>
      </c>
      <c r="BI13" s="61">
        <f t="shared" si="0"/>
        <v>7.1980061773008136E-3</v>
      </c>
    </row>
    <row r="14" spans="1:61" ht="15.6" x14ac:dyDescent="0.3">
      <c r="A14" s="96">
        <v>11280.2</v>
      </c>
      <c r="B14" s="96">
        <v>11284.2</v>
      </c>
      <c r="C14" s="96">
        <v>11275.5</v>
      </c>
      <c r="D14" s="96">
        <v>11277.1</v>
      </c>
      <c r="E14" s="96">
        <v>11274.9</v>
      </c>
      <c r="F14" s="97">
        <v>11331.3</v>
      </c>
      <c r="G14" s="98">
        <v>11328.4</v>
      </c>
      <c r="H14" s="98">
        <v>11326.6</v>
      </c>
      <c r="I14" s="98">
        <v>11331.4</v>
      </c>
      <c r="J14" s="98">
        <v>11333.5</v>
      </c>
      <c r="K14" s="98">
        <v>11329.300000000001</v>
      </c>
      <c r="L14" s="98">
        <v>11332.699999999999</v>
      </c>
      <c r="M14" s="98">
        <v>11331.8</v>
      </c>
      <c r="N14" s="98">
        <v>11331.3</v>
      </c>
      <c r="O14" s="99">
        <v>11333.6</v>
      </c>
      <c r="P14" s="100">
        <v>11330.900000000001</v>
      </c>
      <c r="Q14" s="101">
        <v>11328.5</v>
      </c>
      <c r="R14" s="101">
        <v>11329.300000000001</v>
      </c>
      <c r="S14" s="101">
        <v>11327.199999999999</v>
      </c>
      <c r="T14" s="101">
        <v>11329.600000000002</v>
      </c>
      <c r="U14" s="102">
        <v>11328</v>
      </c>
      <c r="V14">
        <v>11440.8</v>
      </c>
      <c r="W14">
        <v>11294.5</v>
      </c>
      <c r="X14">
        <v>11294.2</v>
      </c>
      <c r="Y14">
        <v>11298.3</v>
      </c>
      <c r="Z14">
        <v>11297.099999999999</v>
      </c>
      <c r="AA14">
        <v>11298</v>
      </c>
      <c r="AB14">
        <v>11292.2</v>
      </c>
      <c r="AC14">
        <v>11290.2</v>
      </c>
      <c r="AD14">
        <v>11293.3</v>
      </c>
      <c r="AE14">
        <v>11292.2</v>
      </c>
      <c r="AF14" s="7">
        <v>11327.2</v>
      </c>
      <c r="AG14" s="7">
        <v>11319.7</v>
      </c>
      <c r="AH14" s="7">
        <v>11320.6</v>
      </c>
      <c r="AI14" s="7">
        <v>11321.9</v>
      </c>
      <c r="AJ14" s="7">
        <v>11321.7</v>
      </c>
      <c r="AK14" s="7">
        <v>11317.6</v>
      </c>
      <c r="AL14" s="7">
        <v>11319.099999999999</v>
      </c>
      <c r="AM14" s="7">
        <v>11318.9</v>
      </c>
      <c r="AN14" s="7">
        <v>11321.6</v>
      </c>
      <c r="AO14" s="7">
        <v>11322.9</v>
      </c>
      <c r="AP14" s="7">
        <v>11323</v>
      </c>
      <c r="AQ14" s="7">
        <v>11319.3</v>
      </c>
      <c r="AR14" s="7">
        <v>11320.900000000001</v>
      </c>
      <c r="AS14" s="7">
        <v>11336.400000000001</v>
      </c>
      <c r="AT14" s="7">
        <v>11337</v>
      </c>
      <c r="AU14" s="7">
        <v>11334.6</v>
      </c>
      <c r="AV14" s="7">
        <v>11332.2</v>
      </c>
      <c r="AW14" s="7">
        <v>11336.300000000001</v>
      </c>
      <c r="AX14" s="7">
        <v>11335.9</v>
      </c>
      <c r="AY14" s="7">
        <v>11337.7</v>
      </c>
      <c r="AZ14" s="7">
        <v>11337.2</v>
      </c>
      <c r="BA14" s="7">
        <v>11334.9</v>
      </c>
      <c r="BB14" s="7">
        <v>11336.6</v>
      </c>
      <c r="BF14" s="152" t="s">
        <v>81</v>
      </c>
      <c r="BG14" s="60">
        <f t="shared" ref="BG14:BG17" si="1">AVERAGE(F17:U17)</f>
        <v>1833.6875</v>
      </c>
      <c r="BH14" s="60">
        <f t="shared" ref="BH14:BH17" si="2">AVERAGE(AF17:AR17)</f>
        <v>1836.0692307692307</v>
      </c>
      <c r="BI14" s="61">
        <f t="shared" si="0"/>
        <v>1.2988749551004035E-3</v>
      </c>
    </row>
    <row r="15" spans="1:61" ht="21" x14ac:dyDescent="0.3">
      <c r="A15" s="103">
        <v>0.33360498927323973</v>
      </c>
      <c r="B15" s="103">
        <v>0.32929928572694556</v>
      </c>
      <c r="C15" s="103">
        <v>0.3288949048822668</v>
      </c>
      <c r="D15" s="103">
        <v>0.32760785130929049</v>
      </c>
      <c r="E15" s="103">
        <v>0.32843621672919499</v>
      </c>
      <c r="F15" s="104">
        <v>0.37541636881911167</v>
      </c>
      <c r="G15" s="105">
        <v>0.37697238798065041</v>
      </c>
      <c r="H15" s="105">
        <v>0.37696669786167075</v>
      </c>
      <c r="I15" s="105">
        <v>0.3751659106553471</v>
      </c>
      <c r="J15" s="105">
        <v>0.37632827458419726</v>
      </c>
      <c r="K15" s="105">
        <v>0.37541608925529379</v>
      </c>
      <c r="L15" s="105">
        <v>0.37594505281177482</v>
      </c>
      <c r="M15" s="105">
        <v>0.37533322155350424</v>
      </c>
      <c r="N15" s="105">
        <v>0.37509160467024955</v>
      </c>
      <c r="O15" s="106">
        <v>0.37492517823110039</v>
      </c>
      <c r="P15" s="107">
        <v>0.37488368090795954</v>
      </c>
      <c r="Q15" s="108">
        <v>0.37385509996910438</v>
      </c>
      <c r="R15" s="108">
        <v>0.37501006240456169</v>
      </c>
      <c r="S15" s="108">
        <v>0.37582067942651315</v>
      </c>
      <c r="T15" s="108">
        <v>0.37535482276514609</v>
      </c>
      <c r="U15" s="109">
        <v>0.37461228813559322</v>
      </c>
      <c r="V15">
        <v>0.37915670232850845</v>
      </c>
      <c r="W15">
        <v>0.37613453450794643</v>
      </c>
      <c r="X15">
        <v>0.37705131837580347</v>
      </c>
      <c r="Y15">
        <v>0.37772023224732915</v>
      </c>
      <c r="Z15">
        <v>0.37970085243115487</v>
      </c>
      <c r="AA15">
        <v>0.37907647371216135</v>
      </c>
      <c r="AB15">
        <v>0.36947441596854463</v>
      </c>
      <c r="AC15">
        <v>0.368381162424049</v>
      </c>
      <c r="AD15">
        <v>0.36688173518812028</v>
      </c>
      <c r="AE15">
        <v>0.36948256318520745</v>
      </c>
      <c r="AF15" s="130">
        <v>0.38160357369870751</v>
      </c>
      <c r="AG15" s="130">
        <v>0.37606168891401709</v>
      </c>
      <c r="AH15" s="130">
        <v>0.3769666802112962</v>
      </c>
      <c r="AI15" s="130">
        <v>0.37447164345207079</v>
      </c>
      <c r="AJ15" s="130">
        <v>0.37653316198097453</v>
      </c>
      <c r="AK15" s="130">
        <v>0.3753368205273202</v>
      </c>
      <c r="AL15" s="130">
        <v>0.37668829677271159</v>
      </c>
      <c r="AM15" s="130">
        <v>0.37561295708946973</v>
      </c>
      <c r="AN15" s="130">
        <v>0.37571933295647258</v>
      </c>
      <c r="AO15" s="130">
        <v>0.3743621775340239</v>
      </c>
      <c r="AP15" s="130">
        <v>0.37497279872825218</v>
      </c>
      <c r="AQ15" s="130">
        <v>0.37540656224324814</v>
      </c>
      <c r="AR15" s="130">
        <v>0.37658838961566649</v>
      </c>
      <c r="AS15" s="149">
        <v>0.3729714900673935</v>
      </c>
      <c r="AT15" s="149">
        <v>0.37419626003351852</v>
      </c>
      <c r="AU15" s="149">
        <v>0.37157720607696787</v>
      </c>
      <c r="AV15" s="149">
        <v>0.37273212615379181</v>
      </c>
      <c r="AW15" s="149">
        <v>0.37211810731896644</v>
      </c>
      <c r="AX15" s="149">
        <v>0.3731518891309909</v>
      </c>
      <c r="AY15" s="149">
        <v>0.37297966077775913</v>
      </c>
      <c r="AZ15" s="149">
        <v>0.37387414881981434</v>
      </c>
      <c r="BA15" s="149">
        <v>0.37274978164783096</v>
      </c>
      <c r="BB15" s="149">
        <v>0.37350149074678463</v>
      </c>
      <c r="BF15" s="152" t="s">
        <v>82</v>
      </c>
      <c r="BG15" s="60">
        <f t="shared" si="1"/>
        <v>3251.4</v>
      </c>
      <c r="BH15" s="60">
        <f t="shared" si="2"/>
        <v>3206.8692307692304</v>
      </c>
      <c r="BI15" s="61">
        <f t="shared" si="0"/>
        <v>1.3695875386224301E-2</v>
      </c>
    </row>
    <row r="16" spans="1:61" ht="15.6" x14ac:dyDescent="0.3">
      <c r="A16" s="110">
        <v>2344.9</v>
      </c>
      <c r="B16" s="110">
        <v>2296.1</v>
      </c>
      <c r="C16" s="110">
        <v>2277</v>
      </c>
      <c r="D16" s="110">
        <v>2316.6</v>
      </c>
      <c r="E16" s="110">
        <v>2281.1</v>
      </c>
      <c r="F16" s="111">
        <v>2282.9</v>
      </c>
      <c r="G16" s="112">
        <v>2238.7999999999997</v>
      </c>
      <c r="H16" s="112">
        <v>2189.4</v>
      </c>
      <c r="I16" s="112">
        <v>2184.6999999999998</v>
      </c>
      <c r="J16" s="112">
        <v>2208.1</v>
      </c>
      <c r="K16" s="112">
        <v>2188.9</v>
      </c>
      <c r="L16" s="112">
        <v>2181.4</v>
      </c>
      <c r="M16" s="112">
        <v>2208.1</v>
      </c>
      <c r="N16" s="112">
        <v>2221.4</v>
      </c>
      <c r="O16" s="113">
        <v>2227.4</v>
      </c>
      <c r="P16" s="114">
        <v>2234.6</v>
      </c>
      <c r="Q16" s="115">
        <v>2207.2000000000003</v>
      </c>
      <c r="R16" s="115">
        <v>2229.3000000000002</v>
      </c>
      <c r="S16" s="115">
        <v>2175.8000000000002</v>
      </c>
      <c r="T16" s="115">
        <v>2180.1</v>
      </c>
      <c r="U16" s="116">
        <v>2209.6</v>
      </c>
      <c r="V16">
        <v>2220.8000000000002</v>
      </c>
      <c r="W16">
        <v>2229.6</v>
      </c>
      <c r="X16">
        <v>2174.9</v>
      </c>
      <c r="Y16">
        <v>2246.1</v>
      </c>
      <c r="Z16">
        <v>2234.5</v>
      </c>
      <c r="AA16">
        <v>2203.4</v>
      </c>
      <c r="AB16">
        <v>2194.9</v>
      </c>
      <c r="AC16">
        <v>2193.4</v>
      </c>
      <c r="AD16">
        <v>2202.3000000000002</v>
      </c>
      <c r="AE16">
        <v>2163.1999999999998</v>
      </c>
      <c r="AF16" s="9">
        <v>2226.5</v>
      </c>
      <c r="AG16" s="9">
        <v>2223.4</v>
      </c>
      <c r="AH16" s="9">
        <v>2234.3000000000002</v>
      </c>
      <c r="AI16" s="9">
        <v>2180.6</v>
      </c>
      <c r="AJ16" s="9">
        <v>2266.2999999999997</v>
      </c>
      <c r="AK16" s="9">
        <v>2226.5</v>
      </c>
      <c r="AL16" s="9">
        <v>2240.4</v>
      </c>
      <c r="AM16" s="9">
        <v>2196.6999999999998</v>
      </c>
      <c r="AN16" s="9">
        <v>2200.3000000000002</v>
      </c>
      <c r="AO16" s="9">
        <v>2262</v>
      </c>
      <c r="AP16" s="9">
        <v>2239.6</v>
      </c>
      <c r="AQ16" s="9">
        <v>2201.6</v>
      </c>
      <c r="AR16" s="9">
        <v>2244.9</v>
      </c>
      <c r="AS16" s="9">
        <v>2201.6</v>
      </c>
      <c r="AT16" s="9">
        <v>2202.6999999999998</v>
      </c>
      <c r="AU16" s="9">
        <v>2194.2000000000003</v>
      </c>
      <c r="AV16" s="9">
        <v>2170.6999999999998</v>
      </c>
      <c r="AW16" s="9">
        <v>2169.5</v>
      </c>
      <c r="AX16" s="9">
        <v>2200.4</v>
      </c>
      <c r="AY16" s="9">
        <v>2252.6999999999998</v>
      </c>
      <c r="AZ16" s="9">
        <v>2218.6</v>
      </c>
      <c r="BA16" s="9">
        <v>2226.1</v>
      </c>
      <c r="BB16" s="9">
        <v>2280.4</v>
      </c>
      <c r="BF16" s="152" t="s">
        <v>83</v>
      </c>
      <c r="BG16" s="60">
        <f t="shared" si="1"/>
        <v>1863.0437499999998</v>
      </c>
      <c r="BH16" s="60">
        <f t="shared" si="2"/>
        <v>1846.5923076923077</v>
      </c>
      <c r="BI16" s="61">
        <f t="shared" si="0"/>
        <v>8.8304111525518963E-3</v>
      </c>
    </row>
    <row r="17" spans="1:61" ht="15.6" x14ac:dyDescent="0.3">
      <c r="A17" s="110">
        <v>1660.8</v>
      </c>
      <c r="B17" s="110">
        <v>1581.1</v>
      </c>
      <c r="C17" s="110">
        <v>1724.2</v>
      </c>
      <c r="D17" s="110">
        <v>1436.6000000000001</v>
      </c>
      <c r="E17" s="110">
        <v>1574.8999999999999</v>
      </c>
      <c r="F17" s="111">
        <v>1686</v>
      </c>
      <c r="G17" s="112">
        <v>1800</v>
      </c>
      <c r="H17" s="112">
        <v>1892</v>
      </c>
      <c r="I17" s="112">
        <v>1857</v>
      </c>
      <c r="J17" s="112">
        <v>1837</v>
      </c>
      <c r="K17" s="112">
        <v>1885</v>
      </c>
      <c r="L17" s="112">
        <v>1874</v>
      </c>
      <c r="M17" s="112">
        <v>1851</v>
      </c>
      <c r="N17" s="112">
        <v>1826</v>
      </c>
      <c r="O17" s="113">
        <v>1788</v>
      </c>
      <c r="P17" s="114">
        <v>1782</v>
      </c>
      <c r="Q17" s="115">
        <v>1833</v>
      </c>
      <c r="R17" s="115">
        <v>1817</v>
      </c>
      <c r="S17" s="115">
        <v>1887</v>
      </c>
      <c r="T17" s="115">
        <v>1894</v>
      </c>
      <c r="U17" s="116">
        <v>1830</v>
      </c>
      <c r="V17">
        <v>1894.2</v>
      </c>
      <c r="W17">
        <v>1731.2</v>
      </c>
      <c r="X17">
        <v>1808.1</v>
      </c>
      <c r="Y17">
        <v>1724</v>
      </c>
      <c r="Z17">
        <v>1779.4</v>
      </c>
      <c r="AA17">
        <v>1787.9</v>
      </c>
      <c r="AB17">
        <v>1865.1</v>
      </c>
      <c r="AC17">
        <v>1830.2</v>
      </c>
      <c r="AD17">
        <v>1801.2</v>
      </c>
      <c r="AE17">
        <v>1878.4</v>
      </c>
      <c r="AF17" s="9">
        <v>1872.3000000000002</v>
      </c>
      <c r="AG17" s="9">
        <v>1834</v>
      </c>
      <c r="AH17" s="9">
        <v>1863</v>
      </c>
      <c r="AI17" s="9">
        <v>1860.5</v>
      </c>
      <c r="AJ17" s="9">
        <v>1804.5</v>
      </c>
      <c r="AK17" s="9">
        <v>1829.5</v>
      </c>
      <c r="AL17" s="9">
        <v>1825.8</v>
      </c>
      <c r="AM17" s="9">
        <v>1888.3</v>
      </c>
      <c r="AN17" s="9">
        <v>1838.3</v>
      </c>
      <c r="AO17" s="9">
        <v>1774.6999999999998</v>
      </c>
      <c r="AP17" s="9">
        <v>1784.4</v>
      </c>
      <c r="AQ17" s="9">
        <v>1875.3</v>
      </c>
      <c r="AR17" s="9">
        <v>1818.3</v>
      </c>
      <c r="AS17" s="9">
        <v>1848.4</v>
      </c>
      <c r="AT17" s="9">
        <v>1850.6999999999998</v>
      </c>
      <c r="AU17" s="9">
        <v>1845.9</v>
      </c>
      <c r="AV17" s="9">
        <v>1862.6</v>
      </c>
      <c r="AW17" s="9">
        <v>1889.8</v>
      </c>
      <c r="AX17" s="9">
        <v>1815.8</v>
      </c>
      <c r="AY17" s="9">
        <v>1857.6000000000001</v>
      </c>
      <c r="AZ17" s="9">
        <v>1807.5</v>
      </c>
      <c r="BA17" s="9">
        <v>1834.5</v>
      </c>
      <c r="BB17" s="9">
        <v>1783.6</v>
      </c>
      <c r="BF17" s="152" t="s">
        <v>84</v>
      </c>
      <c r="BG17" s="60">
        <f t="shared" si="1"/>
        <v>2171.6</v>
      </c>
      <c r="BH17" s="60">
        <f t="shared" si="2"/>
        <v>2205.1846153846154</v>
      </c>
      <c r="BI17" s="61">
        <f t="shared" si="0"/>
        <v>1.5465378239369828E-2</v>
      </c>
    </row>
    <row r="18" spans="1:61" ht="15.6" x14ac:dyDescent="0.3">
      <c r="A18" s="110">
        <v>3194.1</v>
      </c>
      <c r="B18" s="110">
        <v>3396.4</v>
      </c>
      <c r="C18" s="110">
        <v>3313.3</v>
      </c>
      <c r="D18" s="110">
        <v>3557.5</v>
      </c>
      <c r="E18" s="110">
        <v>3395.5</v>
      </c>
      <c r="F18" s="111">
        <v>3245.3</v>
      </c>
      <c r="G18" s="112">
        <v>3215.7000000000003</v>
      </c>
      <c r="H18" s="112">
        <v>3225.6</v>
      </c>
      <c r="I18" s="112">
        <v>3271.4</v>
      </c>
      <c r="J18" s="112">
        <v>3274.4</v>
      </c>
      <c r="K18" s="112">
        <v>3247.5</v>
      </c>
      <c r="L18" s="112">
        <v>3259.5</v>
      </c>
      <c r="M18" s="112">
        <v>3227.2000000000003</v>
      </c>
      <c r="N18" s="112">
        <v>3275.5</v>
      </c>
      <c r="O18" s="113">
        <v>3301.7</v>
      </c>
      <c r="P18" s="114">
        <v>3239.2</v>
      </c>
      <c r="Q18" s="115">
        <v>3269.7</v>
      </c>
      <c r="R18" s="115">
        <v>3252.3</v>
      </c>
      <c r="S18" s="115">
        <v>3229.5</v>
      </c>
      <c r="T18" s="115">
        <v>3240</v>
      </c>
      <c r="U18" s="116">
        <v>3247.8999999999996</v>
      </c>
      <c r="V18">
        <v>3259.9</v>
      </c>
      <c r="W18">
        <v>3257.4</v>
      </c>
      <c r="X18">
        <v>3236.4</v>
      </c>
      <c r="Y18">
        <v>3286.1</v>
      </c>
      <c r="Z18">
        <v>3222.4</v>
      </c>
      <c r="AA18">
        <v>3273.9</v>
      </c>
      <c r="AB18">
        <v>3147.5</v>
      </c>
      <c r="AC18">
        <v>3235.5</v>
      </c>
      <c r="AD18">
        <v>3241.6</v>
      </c>
      <c r="AE18">
        <v>3196.8</v>
      </c>
      <c r="AF18" s="9">
        <v>3186.6</v>
      </c>
      <c r="AG18" s="9">
        <v>3197.7</v>
      </c>
      <c r="AH18" s="9">
        <v>3184.7</v>
      </c>
      <c r="AI18" s="9">
        <v>3234.5</v>
      </c>
      <c r="AJ18" s="9">
        <v>3162</v>
      </c>
      <c r="AK18" s="9">
        <v>3213.3</v>
      </c>
      <c r="AL18" s="9">
        <v>3200.5</v>
      </c>
      <c r="AM18" s="9">
        <v>3178</v>
      </c>
      <c r="AN18" s="9">
        <v>3255</v>
      </c>
      <c r="AO18" s="9">
        <v>3222.1</v>
      </c>
      <c r="AP18" s="9">
        <v>3247.9</v>
      </c>
      <c r="AQ18" s="9">
        <v>3216.9</v>
      </c>
      <c r="AR18" s="9">
        <v>3190.1</v>
      </c>
      <c r="AS18" s="9">
        <v>3273.1</v>
      </c>
      <c r="AT18" s="9">
        <v>3262.2</v>
      </c>
      <c r="AU18" s="9">
        <v>3280.1</v>
      </c>
      <c r="AV18" s="9">
        <v>3289.2</v>
      </c>
      <c r="AW18" s="9">
        <v>3229.8</v>
      </c>
      <c r="AX18" s="9">
        <v>3287</v>
      </c>
      <c r="AY18" s="9">
        <v>3132.2</v>
      </c>
      <c r="AZ18" s="9">
        <v>3265.6</v>
      </c>
      <c r="BA18" s="9">
        <v>3216.7</v>
      </c>
      <c r="BB18" s="9">
        <v>3173.7</v>
      </c>
    </row>
    <row r="19" spans="1:61" ht="15.6" x14ac:dyDescent="0.3">
      <c r="A19" s="110">
        <v>1826.1</v>
      </c>
      <c r="B19" s="110">
        <v>1858.8</v>
      </c>
      <c r="C19" s="110">
        <v>1655.4</v>
      </c>
      <c r="D19" s="110">
        <v>1863.8</v>
      </c>
      <c r="E19" s="110">
        <v>1912.5</v>
      </c>
      <c r="F19" s="111">
        <v>2028</v>
      </c>
      <c r="G19" s="112">
        <v>1916.6</v>
      </c>
      <c r="H19" s="112">
        <v>1821.3000000000002</v>
      </c>
      <c r="I19" s="112">
        <v>1855.9</v>
      </c>
      <c r="J19" s="112">
        <v>1824.7</v>
      </c>
      <c r="K19" s="112">
        <v>1803</v>
      </c>
      <c r="L19" s="112">
        <v>1845.8000000000002</v>
      </c>
      <c r="M19" s="112">
        <v>1869.9</v>
      </c>
      <c r="N19" s="112">
        <v>1798.3999999999999</v>
      </c>
      <c r="O19" s="113">
        <v>1842.8</v>
      </c>
      <c r="P19" s="114">
        <v>1947</v>
      </c>
      <c r="Q19" s="115">
        <v>1839.1</v>
      </c>
      <c r="R19" s="115">
        <v>1829.3</v>
      </c>
      <c r="S19" s="115">
        <v>1880.3000000000002</v>
      </c>
      <c r="T19" s="115">
        <v>1825.6999999999998</v>
      </c>
      <c r="U19" s="116">
        <v>1880.9</v>
      </c>
      <c r="V19">
        <v>1883.9</v>
      </c>
      <c r="W19">
        <v>1895.2</v>
      </c>
      <c r="X19">
        <v>1925.7</v>
      </c>
      <c r="Y19">
        <v>1821.1</v>
      </c>
      <c r="Z19">
        <v>1824.2</v>
      </c>
      <c r="AA19">
        <v>1822.9</v>
      </c>
      <c r="AB19">
        <v>1873.5</v>
      </c>
      <c r="AC19">
        <v>1807.5</v>
      </c>
      <c r="AD19">
        <v>1856.2</v>
      </c>
      <c r="AE19">
        <v>1864.3</v>
      </c>
      <c r="AF19" s="9">
        <v>1793.5</v>
      </c>
      <c r="AG19" s="9">
        <v>1878.3</v>
      </c>
      <c r="AH19" s="9">
        <v>1777</v>
      </c>
      <c r="AI19" s="9">
        <v>1899.2</v>
      </c>
      <c r="AJ19" s="9">
        <v>1870.3</v>
      </c>
      <c r="AK19" s="9">
        <v>1846.5</v>
      </c>
      <c r="AL19" s="9">
        <v>1834</v>
      </c>
      <c r="AM19" s="9">
        <v>1863</v>
      </c>
      <c r="AN19" s="9">
        <v>1843</v>
      </c>
      <c r="AO19" s="9">
        <v>1859.9</v>
      </c>
      <c r="AP19" s="9">
        <v>1874.5</v>
      </c>
      <c r="AQ19" s="9">
        <v>1809</v>
      </c>
      <c r="AR19" s="9">
        <v>1857.5</v>
      </c>
      <c r="AS19" s="9">
        <v>1802.9</v>
      </c>
      <c r="AT19" s="9">
        <v>1819.3</v>
      </c>
      <c r="AU19" s="9">
        <v>1815.8</v>
      </c>
      <c r="AV19" s="9">
        <v>1843.4</v>
      </c>
      <c r="AW19" s="9">
        <v>1893.4</v>
      </c>
      <c r="AX19" s="9">
        <v>1877.5</v>
      </c>
      <c r="AY19" s="9">
        <v>1852.8</v>
      </c>
      <c r="AZ19" s="9">
        <v>1868.6</v>
      </c>
      <c r="BA19" s="9">
        <v>1854.3</v>
      </c>
      <c r="BB19" s="9">
        <v>1876.8</v>
      </c>
    </row>
    <row r="20" spans="1:61" ht="15.6" x14ac:dyDescent="0.3">
      <c r="A20" s="110">
        <v>2254.3000000000002</v>
      </c>
      <c r="B20" s="110">
        <v>2151.8000000000002</v>
      </c>
      <c r="C20" s="110">
        <v>2305.6</v>
      </c>
      <c r="D20" s="110">
        <v>2102.6</v>
      </c>
      <c r="E20" s="110">
        <v>2110.9</v>
      </c>
      <c r="F20" s="111">
        <v>2089.1</v>
      </c>
      <c r="G20" s="112">
        <v>2157.2999999999997</v>
      </c>
      <c r="H20" s="112">
        <v>2198.3000000000002</v>
      </c>
      <c r="I20" s="112">
        <v>2162.4</v>
      </c>
      <c r="J20" s="112">
        <v>2189.3000000000002</v>
      </c>
      <c r="K20" s="112">
        <v>2204.9</v>
      </c>
      <c r="L20" s="112">
        <v>2172</v>
      </c>
      <c r="M20" s="112">
        <v>2175.6</v>
      </c>
      <c r="N20" s="112">
        <v>2210</v>
      </c>
      <c r="O20" s="113">
        <v>2173.6999999999998</v>
      </c>
      <c r="P20" s="114">
        <v>2128.1</v>
      </c>
      <c r="Q20" s="115">
        <v>2179.5</v>
      </c>
      <c r="R20" s="115">
        <v>2201.4</v>
      </c>
      <c r="S20" s="115">
        <v>2154.6</v>
      </c>
      <c r="T20" s="115">
        <v>2189.8000000000002</v>
      </c>
      <c r="U20" s="116">
        <v>2159.6</v>
      </c>
      <c r="V20">
        <v>2182</v>
      </c>
      <c r="W20">
        <v>2181.1</v>
      </c>
      <c r="X20">
        <v>2149.1</v>
      </c>
      <c r="Y20">
        <v>2221</v>
      </c>
      <c r="Z20">
        <v>2236.6</v>
      </c>
      <c r="AA20">
        <v>2209.9</v>
      </c>
      <c r="AB20">
        <v>2211.2000000000003</v>
      </c>
      <c r="AC20">
        <v>2223.6</v>
      </c>
      <c r="AD20">
        <v>2192</v>
      </c>
      <c r="AE20">
        <v>2189.5</v>
      </c>
      <c r="AF20" s="9">
        <v>2248.3000000000002</v>
      </c>
      <c r="AG20" s="9">
        <v>2186.3000000000002</v>
      </c>
      <c r="AH20" s="9">
        <v>2261.6</v>
      </c>
      <c r="AI20" s="9">
        <v>2147.1</v>
      </c>
      <c r="AJ20" s="9">
        <v>2218.6</v>
      </c>
      <c r="AK20" s="9">
        <v>2201.8000000000002</v>
      </c>
      <c r="AL20" s="9">
        <v>2218.4</v>
      </c>
      <c r="AM20" s="9">
        <v>2192.9</v>
      </c>
      <c r="AN20" s="9">
        <v>2185</v>
      </c>
      <c r="AO20" s="9">
        <v>2204.1999999999998</v>
      </c>
      <c r="AP20" s="9">
        <v>2176.6</v>
      </c>
      <c r="AQ20" s="9">
        <v>2216.5</v>
      </c>
      <c r="AR20" s="9">
        <v>2210.1</v>
      </c>
      <c r="AS20" s="9">
        <v>2210.4</v>
      </c>
      <c r="AT20" s="9">
        <v>2202.1</v>
      </c>
      <c r="AU20" s="9">
        <v>2198.6</v>
      </c>
      <c r="AV20" s="9">
        <v>2166.3000000000002</v>
      </c>
      <c r="AW20" s="9">
        <v>2153.7999999999997</v>
      </c>
      <c r="AX20" s="9">
        <v>2155.1999999999998</v>
      </c>
      <c r="AY20" s="9">
        <v>2242.4</v>
      </c>
      <c r="AZ20" s="9">
        <v>2176.9</v>
      </c>
      <c r="BA20" s="9">
        <v>2203.3000000000002</v>
      </c>
      <c r="BB20" s="9">
        <v>2222.1</v>
      </c>
    </row>
    <row r="21" spans="1:61" ht="15.6" x14ac:dyDescent="0.3">
      <c r="A21" s="83">
        <v>35.802443601006438</v>
      </c>
      <c r="B21" s="83">
        <v>33.116828535342542</v>
      </c>
      <c r="C21" s="83">
        <v>34.574747474747461</v>
      </c>
      <c r="D21" s="83">
        <v>33.374816541483213</v>
      </c>
      <c r="E21" s="83">
        <v>33.774341326552978</v>
      </c>
      <c r="F21" s="117">
        <v>37.818279381488459</v>
      </c>
      <c r="G21" s="118">
        <v>37.74602465606575</v>
      </c>
      <c r="H21" s="118">
        <v>39.528318260710684</v>
      </c>
      <c r="I21" s="118">
        <v>37.076967089302883</v>
      </c>
      <c r="J21" s="118">
        <v>36.779833340881311</v>
      </c>
      <c r="K21" s="118">
        <v>36.797820823244543</v>
      </c>
      <c r="L21" s="118">
        <v>39.632025304850089</v>
      </c>
      <c r="M21" s="118">
        <v>39.092228612834553</v>
      </c>
      <c r="N21" s="118">
        <v>38.126991987035183</v>
      </c>
      <c r="O21" s="119">
        <v>35.47827062943341</v>
      </c>
      <c r="P21" s="120">
        <v>37.580193323189832</v>
      </c>
      <c r="Q21" s="74">
        <v>38.670351576658199</v>
      </c>
      <c r="R21" s="74">
        <v>37.324249764500053</v>
      </c>
      <c r="S21" s="74">
        <v>36.151162790697661</v>
      </c>
      <c r="T21" s="74">
        <v>35.750997660657767</v>
      </c>
      <c r="U21" s="121">
        <v>38.334540188269372</v>
      </c>
      <c r="V21">
        <v>33.396613832853021</v>
      </c>
      <c r="W21">
        <v>33.872443487621098</v>
      </c>
      <c r="X21">
        <v>32.485792450227599</v>
      </c>
      <c r="Y21">
        <v>38.360068563287477</v>
      </c>
      <c r="Z21">
        <v>35.899731483553353</v>
      </c>
      <c r="AA21">
        <v>36.735908141962419</v>
      </c>
      <c r="AB21">
        <v>35.832042462071165</v>
      </c>
      <c r="AC21">
        <v>36.773456733837875</v>
      </c>
      <c r="AD21">
        <v>37.346796530899503</v>
      </c>
      <c r="AE21">
        <v>37.227071005917161</v>
      </c>
      <c r="AF21" s="11">
        <v>37.298158544801254</v>
      </c>
      <c r="AG21" s="11">
        <v>37.66731132499774</v>
      </c>
      <c r="AH21" s="11">
        <v>38.204202658550777</v>
      </c>
      <c r="AI21" s="11">
        <v>37.636292763459593</v>
      </c>
      <c r="AJ21" s="11">
        <v>38.176785950668489</v>
      </c>
      <c r="AK21" s="11">
        <v>38.099775432292823</v>
      </c>
      <c r="AL21" s="11">
        <v>37.66139975004463</v>
      </c>
      <c r="AM21" s="11">
        <v>38.424750762507394</v>
      </c>
      <c r="AN21" s="11">
        <v>38.245443803117738</v>
      </c>
      <c r="AO21" s="11">
        <v>37.88302387267904</v>
      </c>
      <c r="AP21" s="11">
        <v>37.151187712091435</v>
      </c>
      <c r="AQ21" s="11">
        <v>33.522892441860463</v>
      </c>
      <c r="AR21" s="11">
        <v>35.537596329457891</v>
      </c>
      <c r="AS21" s="11">
        <v>38.963662790697668</v>
      </c>
      <c r="AT21" s="11">
        <v>36.969287692377542</v>
      </c>
      <c r="AU21" s="11">
        <v>36.938155136268335</v>
      </c>
      <c r="AV21" s="11">
        <v>37.200096742986126</v>
      </c>
      <c r="AW21" s="11">
        <v>35.623162018898356</v>
      </c>
      <c r="AX21" s="11">
        <v>36.03426649700053</v>
      </c>
      <c r="AY21" s="11">
        <v>39.309295512052209</v>
      </c>
      <c r="AZ21" s="11">
        <v>37.794960786081305</v>
      </c>
      <c r="BA21" s="11">
        <v>37.965118368447058</v>
      </c>
      <c r="BB21" s="11">
        <v>38.872390808630051</v>
      </c>
    </row>
    <row r="22" spans="1:61" ht="15.6" x14ac:dyDescent="0.3">
      <c r="A22" s="83">
        <v>40.576107899807326</v>
      </c>
      <c r="B22" s="83">
        <v>36.237461261147295</v>
      </c>
      <c r="C22" s="83">
        <v>36.853207284537753</v>
      </c>
      <c r="D22" s="83">
        <v>40.523527773910615</v>
      </c>
      <c r="E22" s="83">
        <v>39.361070544161528</v>
      </c>
      <c r="F22" s="117">
        <v>37.476275207591925</v>
      </c>
      <c r="G22" s="118">
        <v>36.933333333333323</v>
      </c>
      <c r="H22" s="118">
        <v>36.669133192389005</v>
      </c>
      <c r="I22" s="118">
        <v>35.844641895530422</v>
      </c>
      <c r="J22" s="118">
        <v>38.629014697876968</v>
      </c>
      <c r="K22" s="118">
        <v>36.906896551724131</v>
      </c>
      <c r="L22" s="118">
        <v>35.102988260405539</v>
      </c>
      <c r="M22" s="118">
        <v>36.042409508373844</v>
      </c>
      <c r="N22" s="118">
        <v>36.838444687842269</v>
      </c>
      <c r="O22" s="119">
        <v>39.717002237136462</v>
      </c>
      <c r="P22" s="120">
        <v>38.386644219977548</v>
      </c>
      <c r="Q22" s="74">
        <v>37.998636115657384</v>
      </c>
      <c r="R22" s="74">
        <v>38.639240506329109</v>
      </c>
      <c r="S22" s="74">
        <v>39.798887122416538</v>
      </c>
      <c r="T22" s="74">
        <v>39.113516367476244</v>
      </c>
      <c r="U22" s="121">
        <v>38.730601092896173</v>
      </c>
      <c r="V22">
        <v>44.156319290465632</v>
      </c>
      <c r="W22">
        <v>43.847504621072083</v>
      </c>
      <c r="X22">
        <v>44.34597090868867</v>
      </c>
      <c r="Y22">
        <v>37.838747099767971</v>
      </c>
      <c r="Z22">
        <v>38.832808811959083</v>
      </c>
      <c r="AA22">
        <v>37.555148498238154</v>
      </c>
      <c r="AB22">
        <v>38.152082998230661</v>
      </c>
      <c r="AC22">
        <v>37.485356791607465</v>
      </c>
      <c r="AD22">
        <v>36.891960914945592</v>
      </c>
      <c r="AE22">
        <v>37.389480408858589</v>
      </c>
      <c r="AF22" s="11">
        <v>37.490920258505575</v>
      </c>
      <c r="AG22" s="11">
        <v>37.449182115594326</v>
      </c>
      <c r="AH22" s="11">
        <v>39.272839506172843</v>
      </c>
      <c r="AI22" s="11">
        <v>36.87790916420316</v>
      </c>
      <c r="AJ22" s="11">
        <v>37.474397339983376</v>
      </c>
      <c r="AK22" s="11">
        <v>38.37510248701831</v>
      </c>
      <c r="AL22" s="11">
        <v>37.879888268156421</v>
      </c>
      <c r="AM22" s="11">
        <v>36.552375152253347</v>
      </c>
      <c r="AN22" s="11">
        <v>37.887423162704671</v>
      </c>
      <c r="AO22" s="11">
        <v>37.731363047275593</v>
      </c>
      <c r="AP22" s="11">
        <v>38.244451916610615</v>
      </c>
      <c r="AQ22" s="11">
        <v>41.452754225990496</v>
      </c>
      <c r="AR22" s="11">
        <v>40.338365506242091</v>
      </c>
      <c r="AS22" s="11">
        <v>37.493940705474998</v>
      </c>
      <c r="AT22" s="11">
        <v>37.014237855946391</v>
      </c>
      <c r="AU22" s="11">
        <v>37.783980714014831</v>
      </c>
      <c r="AV22" s="11">
        <v>38.292225920755932</v>
      </c>
      <c r="AW22" s="11">
        <v>39.06164673510424</v>
      </c>
      <c r="AX22" s="11">
        <v>38.468608877629684</v>
      </c>
      <c r="AY22" s="11">
        <v>37.053186907838068</v>
      </c>
      <c r="AZ22" s="11">
        <v>38.719253112033194</v>
      </c>
      <c r="BA22" s="11">
        <v>39.288498228400108</v>
      </c>
      <c r="BB22" s="11">
        <v>38.496411751513797</v>
      </c>
    </row>
    <row r="23" spans="1:61" ht="15.6" x14ac:dyDescent="0.3">
      <c r="A23" s="83">
        <v>31.51064462602924</v>
      </c>
      <c r="B23" s="83">
        <v>36.628960075373918</v>
      </c>
      <c r="C23" s="83">
        <v>34.784338876648654</v>
      </c>
      <c r="D23" s="83">
        <v>34.871468728039353</v>
      </c>
      <c r="E23" s="83">
        <v>34.105212781622726</v>
      </c>
      <c r="F23" s="117">
        <v>37.671509567682477</v>
      </c>
      <c r="G23" s="118">
        <v>37.183739154771885</v>
      </c>
      <c r="H23" s="118">
        <v>36.183779761904766</v>
      </c>
      <c r="I23" s="118">
        <v>37.745277251329703</v>
      </c>
      <c r="J23" s="118">
        <v>36.737967261177616</v>
      </c>
      <c r="K23" s="118">
        <v>38.567590454195525</v>
      </c>
      <c r="L23" s="118">
        <v>35.380595183310319</v>
      </c>
      <c r="M23" s="118">
        <v>37.690877540902321</v>
      </c>
      <c r="N23" s="118">
        <v>37.95348801709661</v>
      </c>
      <c r="O23" s="119">
        <v>36.837735106157439</v>
      </c>
      <c r="P23" s="120">
        <v>36.816127438873799</v>
      </c>
      <c r="Q23" s="74">
        <v>35.979554699207874</v>
      </c>
      <c r="R23" s="74">
        <v>36.691403007102664</v>
      </c>
      <c r="S23" s="74">
        <v>37.401594674098149</v>
      </c>
      <c r="T23" s="74">
        <v>37.464320987654311</v>
      </c>
      <c r="U23" s="121">
        <v>36.679839280766032</v>
      </c>
      <c r="V23">
        <v>38.376898064357796</v>
      </c>
      <c r="W23">
        <v>36.841683551298573</v>
      </c>
      <c r="X23">
        <v>36.291743912989737</v>
      </c>
      <c r="Y23">
        <v>36.297784607893853</v>
      </c>
      <c r="Z23">
        <v>38.366931479642489</v>
      </c>
      <c r="AA23">
        <v>37.983399004245697</v>
      </c>
      <c r="AB23">
        <v>36.271405877680692</v>
      </c>
      <c r="AC23">
        <v>36.20220985937258</v>
      </c>
      <c r="AD23">
        <v>35.720138203356363</v>
      </c>
      <c r="AE23">
        <v>36.103353353353356</v>
      </c>
      <c r="AF23" s="11">
        <v>38.103903847360819</v>
      </c>
      <c r="AG23" s="11">
        <v>38.639506520311464</v>
      </c>
      <c r="AH23" s="11">
        <v>36.449288787012904</v>
      </c>
      <c r="AI23" s="11">
        <v>37.306770752821151</v>
      </c>
      <c r="AJ23" s="11">
        <v>36.923149905123331</v>
      </c>
      <c r="AK23" s="11">
        <v>36.583247751532689</v>
      </c>
      <c r="AL23" s="11">
        <v>37.960865489767215</v>
      </c>
      <c r="AM23" s="11">
        <v>37.575519194461926</v>
      </c>
      <c r="AN23" s="11">
        <v>37.480952380952381</v>
      </c>
      <c r="AO23" s="11">
        <v>37.452018869681261</v>
      </c>
      <c r="AP23" s="11">
        <v>36.855460451368572</v>
      </c>
      <c r="AQ23" s="11">
        <v>37.71530044452733</v>
      </c>
      <c r="AR23" s="11">
        <v>36.878514780100929</v>
      </c>
      <c r="AS23" s="11">
        <v>37.53036876355749</v>
      </c>
      <c r="AT23" s="11">
        <v>37.652902948930169</v>
      </c>
      <c r="AU23" s="11">
        <v>37.560181092039876</v>
      </c>
      <c r="AV23" s="11">
        <v>36.20023105922413</v>
      </c>
      <c r="AW23" s="11">
        <v>36.488544182302299</v>
      </c>
      <c r="AX23" s="11">
        <v>36.917706114998474</v>
      </c>
      <c r="AY23" s="11">
        <v>35.962039461081666</v>
      </c>
      <c r="AZ23" s="11">
        <v>35.723419892209698</v>
      </c>
      <c r="BA23" s="11">
        <v>34.711365685329689</v>
      </c>
      <c r="BB23" s="11">
        <v>35.498487569713575</v>
      </c>
    </row>
    <row r="24" spans="1:61" ht="15.6" x14ac:dyDescent="0.3">
      <c r="A24" s="83">
        <v>28.929494551229389</v>
      </c>
      <c r="B24" s="83">
        <v>27.297288573273075</v>
      </c>
      <c r="C24" s="83">
        <v>25.10154645402924</v>
      </c>
      <c r="D24" s="83">
        <v>23.857549093250345</v>
      </c>
      <c r="E24" s="83">
        <v>27.784444444444446</v>
      </c>
      <c r="F24" s="117">
        <v>35.781065088757394</v>
      </c>
      <c r="G24" s="118">
        <v>39.269174579985382</v>
      </c>
      <c r="H24" s="118">
        <v>38.119008400592975</v>
      </c>
      <c r="I24" s="118">
        <v>40.262110027479928</v>
      </c>
      <c r="J24" s="118">
        <v>39.943908587713054</v>
      </c>
      <c r="K24" s="118">
        <v>38.733277870216298</v>
      </c>
      <c r="L24" s="118">
        <v>39.816827391916767</v>
      </c>
      <c r="M24" s="118">
        <v>35.362238622386222</v>
      </c>
      <c r="N24" s="118">
        <v>37.211966192170806</v>
      </c>
      <c r="O24" s="119">
        <v>39.613088777946601</v>
      </c>
      <c r="P24" s="120">
        <v>37.461376476630711</v>
      </c>
      <c r="Q24" s="74">
        <v>36.842830732423458</v>
      </c>
      <c r="R24" s="74">
        <v>37.257174875635478</v>
      </c>
      <c r="S24" s="74">
        <v>36.889990958889527</v>
      </c>
      <c r="T24" s="74">
        <v>39.023032261598296</v>
      </c>
      <c r="U24" s="121">
        <v>36.654978999415171</v>
      </c>
      <c r="V24">
        <v>40.21914645151017</v>
      </c>
      <c r="W24">
        <v>38.927184466019412</v>
      </c>
      <c r="X24">
        <v>39.699615724152245</v>
      </c>
      <c r="Y24">
        <v>39.122865301191574</v>
      </c>
      <c r="Z24">
        <v>39.849961627014572</v>
      </c>
      <c r="AA24">
        <v>40.093998573701242</v>
      </c>
      <c r="AB24">
        <v>38.192287163063774</v>
      </c>
      <c r="AC24">
        <v>37.299170124481329</v>
      </c>
      <c r="AD24">
        <v>36.383094494127789</v>
      </c>
      <c r="AE24">
        <v>36.300729496325701</v>
      </c>
      <c r="AF24" s="11">
        <v>41.343323111235023</v>
      </c>
      <c r="AG24" s="11">
        <v>38.030373209817384</v>
      </c>
      <c r="AH24" s="11">
        <v>36.900112549240291</v>
      </c>
      <c r="AI24" s="11">
        <v>38.178601516427968</v>
      </c>
      <c r="AJ24" s="11">
        <v>38.366278137197234</v>
      </c>
      <c r="AK24" s="11">
        <v>38.296642296236115</v>
      </c>
      <c r="AL24" s="11">
        <v>38.056161395856044</v>
      </c>
      <c r="AM24" s="11">
        <v>37.179012345679006</v>
      </c>
      <c r="AN24" s="11">
        <v>37.273195876288653</v>
      </c>
      <c r="AO24" s="11">
        <v>39.08427872466261</v>
      </c>
      <c r="AP24" s="11">
        <v>38.395705521472387</v>
      </c>
      <c r="AQ24" s="11">
        <v>38.32808181315643</v>
      </c>
      <c r="AR24" s="11">
        <v>37.978600269179012</v>
      </c>
      <c r="AS24" s="11">
        <v>36.293388429752063</v>
      </c>
      <c r="AT24" s="11">
        <v>37.846396965865985</v>
      </c>
      <c r="AU24" s="11">
        <v>38.377409406322272</v>
      </c>
      <c r="AV24" s="11">
        <v>37.326190734512302</v>
      </c>
      <c r="AW24" s="11">
        <v>37.651896059997874</v>
      </c>
      <c r="AX24" s="11">
        <v>38.514647137150462</v>
      </c>
      <c r="AY24" s="11">
        <v>38.490500863557855</v>
      </c>
      <c r="AZ24" s="11">
        <v>38.797441935138608</v>
      </c>
      <c r="BA24" s="11">
        <v>39.046783152672162</v>
      </c>
      <c r="BB24" s="11">
        <v>37.725490196078432</v>
      </c>
    </row>
    <row r="25" spans="1:61" ht="15.6" x14ac:dyDescent="0.3">
      <c r="A25" s="83">
        <v>31.714878232710813</v>
      </c>
      <c r="B25" s="83">
        <v>29.327307370573465</v>
      </c>
      <c r="C25" s="83">
        <v>31.129597501734906</v>
      </c>
      <c r="D25" s="83">
        <v>31.101255588319219</v>
      </c>
      <c r="E25" s="83">
        <v>29.529655597138653</v>
      </c>
      <c r="F25" s="117">
        <v>38.799411229716149</v>
      </c>
      <c r="G25" s="118">
        <v>37.652876280535857</v>
      </c>
      <c r="H25" s="118">
        <v>38.626779784378826</v>
      </c>
      <c r="I25" s="118">
        <v>36.694228634850155</v>
      </c>
      <c r="J25" s="118">
        <v>37.069451422829211</v>
      </c>
      <c r="K25" s="118">
        <v>36.33704476393487</v>
      </c>
      <c r="L25" s="118">
        <v>39.131675874769797</v>
      </c>
      <c r="M25" s="118">
        <v>38.851902923331494</v>
      </c>
      <c r="N25" s="118">
        <v>37.025610859728502</v>
      </c>
      <c r="O25" s="119">
        <v>36.923563509223897</v>
      </c>
      <c r="P25" s="120">
        <v>37.68767915041586</v>
      </c>
      <c r="Q25" s="74">
        <v>38.135833906859375</v>
      </c>
      <c r="R25" s="74">
        <v>38.139229581175613</v>
      </c>
      <c r="S25" s="74">
        <v>37.960038986354775</v>
      </c>
      <c r="T25" s="74">
        <v>36.812265960361678</v>
      </c>
      <c r="U25" s="121">
        <v>37.369420263011676</v>
      </c>
      <c r="V25">
        <v>34.419706691109077</v>
      </c>
      <c r="W25">
        <v>36.500596029526392</v>
      </c>
      <c r="X25">
        <v>37.741310315946222</v>
      </c>
      <c r="Y25">
        <v>38.199144529491214</v>
      </c>
      <c r="Z25">
        <v>37.247116158454794</v>
      </c>
      <c r="AA25">
        <v>37.44542739490474</v>
      </c>
      <c r="AB25">
        <v>36.946092619392182</v>
      </c>
      <c r="AC25">
        <v>36.919679798524925</v>
      </c>
      <c r="AD25">
        <v>37.548905109489034</v>
      </c>
      <c r="AE25">
        <v>38.079218999771633</v>
      </c>
      <c r="AF25" s="11">
        <v>37.112596183783296</v>
      </c>
      <c r="AG25" s="11">
        <v>35.799867355806605</v>
      </c>
      <c r="AH25" s="11">
        <v>38.279271312345237</v>
      </c>
      <c r="AI25" s="11">
        <v>37.312863862884811</v>
      </c>
      <c r="AJ25" s="11">
        <v>37.703732083295769</v>
      </c>
      <c r="AK25" s="11">
        <v>37.009310564083925</v>
      </c>
      <c r="AL25" s="11">
        <v>36.761089073205902</v>
      </c>
      <c r="AM25" s="11">
        <v>37.869282685028949</v>
      </c>
      <c r="AN25" s="11">
        <v>37.015789473684194</v>
      </c>
      <c r="AO25" s="11">
        <v>35.326331548861269</v>
      </c>
      <c r="AP25" s="11">
        <v>37.424836901589636</v>
      </c>
      <c r="AQ25" s="11">
        <v>37.325400406045574</v>
      </c>
      <c r="AR25" s="11">
        <v>38.466562598977418</v>
      </c>
      <c r="AS25" s="11">
        <v>35.946073108939558</v>
      </c>
      <c r="AT25" s="11">
        <v>37.512624313155627</v>
      </c>
      <c r="AU25" s="11">
        <v>35.243291185299732</v>
      </c>
      <c r="AV25" s="11">
        <v>38.054401514102373</v>
      </c>
      <c r="AW25" s="11">
        <v>37.886665428544902</v>
      </c>
      <c r="AX25" s="11">
        <v>37.212509279881225</v>
      </c>
      <c r="AY25" s="11">
        <v>36.360863360684966</v>
      </c>
      <c r="AZ25" s="11">
        <v>37.152074050254939</v>
      </c>
      <c r="BA25" s="11">
        <v>37.152793536967259</v>
      </c>
      <c r="BB25" s="11">
        <v>37.195513253228924</v>
      </c>
    </row>
    <row r="26" spans="1:61" ht="16.2" thickBot="1" x14ac:dyDescent="0.35">
      <c r="A26" s="122">
        <v>-7.0477473803655854E-3</v>
      </c>
      <c r="B26" s="122">
        <v>-4.829761968061376E-3</v>
      </c>
      <c r="C26" s="122">
        <v>-5.1438960578243454E-3</v>
      </c>
      <c r="D26" s="122">
        <v>-3.5470111996891731E-4</v>
      </c>
      <c r="E26" s="122">
        <v>-1.2416961569500717E-3</v>
      </c>
      <c r="F26" s="123">
        <v>-2.0121257049058861E-2</v>
      </c>
      <c r="G26" s="124">
        <v>-2.0479502842413771E-2</v>
      </c>
      <c r="H26" s="124">
        <v>-2.3352109194285903E-2</v>
      </c>
      <c r="I26" s="124">
        <v>-2.0165204652558121E-2</v>
      </c>
      <c r="J26" s="124">
        <v>-2.2014382141439214E-2</v>
      </c>
      <c r="K26" s="124">
        <v>-2.2066676670226729E-2</v>
      </c>
      <c r="L26" s="124">
        <v>-2.0736452919427786E-2</v>
      </c>
      <c r="M26" s="124">
        <v>-2.034098731004794E-2</v>
      </c>
      <c r="N26" s="124">
        <v>-2.223928410685453E-2</v>
      </c>
      <c r="O26" s="125">
        <v>-2.3205336345027198E-2</v>
      </c>
      <c r="P26" s="126">
        <v>-2.1181018277453736E-2</v>
      </c>
      <c r="Q26" s="127">
        <v>-2.1759279692810198E-2</v>
      </c>
      <c r="R26" s="127">
        <v>-1.9198008703097451E-2</v>
      </c>
      <c r="S26" s="127">
        <v>-2.1673493890811611E-2</v>
      </c>
      <c r="T26" s="127">
        <v>-2.1580638327919833E-2</v>
      </c>
      <c r="U26" s="128">
        <v>-2.1671963276836115E-2</v>
      </c>
      <c r="V26">
        <v>-3.841514579400046E-2</v>
      </c>
      <c r="W26">
        <v>2.9660454203373373E-2</v>
      </c>
      <c r="X26">
        <v>2.9218536948168086E-2</v>
      </c>
      <c r="Y26">
        <v>2.0755334873387921E-2</v>
      </c>
      <c r="Z26">
        <v>2.1686981614750488E-2</v>
      </c>
      <c r="AA26">
        <v>2.1242697822623471E-2</v>
      </c>
      <c r="AB26">
        <v>1.8154124085652194E-2</v>
      </c>
      <c r="AC26">
        <v>1.669589555543748E-2</v>
      </c>
      <c r="AD26">
        <v>1.5230269274702689E-2</v>
      </c>
      <c r="AE26">
        <v>1.7047165299941398E-2</v>
      </c>
      <c r="AF26" s="75">
        <v>-1.5537820467547162E-2</v>
      </c>
      <c r="AG26" s="75">
        <v>-1.3207063791443374E-2</v>
      </c>
      <c r="AH26" s="75">
        <v>-1.3868522869812943E-2</v>
      </c>
      <c r="AI26" s="75">
        <v>-1.2497902295551181E-2</v>
      </c>
      <c r="AJ26" s="75">
        <v>-1.3072241801143048E-2</v>
      </c>
      <c r="AK26" s="75">
        <v>-1.431398883155423E-2</v>
      </c>
      <c r="AL26" s="75">
        <v>-1.581397814313867E-2</v>
      </c>
      <c r="AM26" s="75">
        <v>-1.4533214358285739E-2</v>
      </c>
      <c r="AN26" s="75">
        <v>-1.1438312605991924E-2</v>
      </c>
      <c r="AO26" s="75">
        <v>-1.3424122795396879E-2</v>
      </c>
      <c r="AP26" s="75">
        <v>-1.5852689216638641E-2</v>
      </c>
      <c r="AQ26" s="75">
        <v>-1.6122905126642207E-2</v>
      </c>
      <c r="AR26" s="75">
        <v>-1.3426494359989034E-2</v>
      </c>
      <c r="AS26" s="75">
        <v>-1.2305493807557794E-2</v>
      </c>
      <c r="AT26" s="75">
        <v>-1.4377701331921884E-2</v>
      </c>
      <c r="AU26" s="75">
        <v>-9.3960086813827479E-3</v>
      </c>
      <c r="AV26" s="75">
        <v>-1.235417659412995E-2</v>
      </c>
      <c r="AW26" s="75">
        <v>-1.2261496255391999E-2</v>
      </c>
      <c r="AX26" s="75">
        <v>-1.2658897837842777E-2</v>
      </c>
      <c r="AY26" s="75">
        <v>-1.1201566455277564E-2</v>
      </c>
      <c r="AZ26" s="75">
        <v>-9.8348798645169402E-3</v>
      </c>
      <c r="BA26" s="75">
        <v>-1.1380779715745056E-2</v>
      </c>
      <c r="BB26" s="75">
        <v>-1.0320554663655959E-2</v>
      </c>
    </row>
    <row r="27" spans="1:61" x14ac:dyDescent="0.3"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1:61" x14ac:dyDescent="0.3"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61" x14ac:dyDescent="0.3"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1:61" x14ac:dyDescent="0.3"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1:61" x14ac:dyDescent="0.3"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7" spans="32:54" x14ac:dyDescent="0.3"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32:54" x14ac:dyDescent="0.3"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32:54" x14ac:dyDescent="0.3"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6" spans="32:54" x14ac:dyDescent="0.3">
      <c r="AP46" s="133"/>
    </row>
  </sheetData>
  <mergeCells count="6">
    <mergeCell ref="AS1:BB1"/>
    <mergeCell ref="A1:E1"/>
    <mergeCell ref="F1:U1"/>
    <mergeCell ref="V1:AA1"/>
    <mergeCell ref="AB1:AE1"/>
    <mergeCell ref="AF1:A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441B-2E4A-4D81-BFB2-927BDB6120C2}">
  <dimension ref="D1:M33"/>
  <sheetViews>
    <sheetView workbookViewId="0">
      <selection activeCell="K37" sqref="K37"/>
    </sheetView>
  </sheetViews>
  <sheetFormatPr defaultRowHeight="14.4" x14ac:dyDescent="0.3"/>
  <cols>
    <col min="7" max="7" width="38.88671875" customWidth="1"/>
    <col min="8" max="8" width="24.109375" bestFit="1" customWidth="1"/>
    <col min="9" max="9" width="14.88671875" customWidth="1"/>
    <col min="10" max="10" width="38.33203125" bestFit="1" customWidth="1"/>
    <col min="11" max="11" width="25.109375" bestFit="1" customWidth="1"/>
    <col min="12" max="12" width="34.88671875" bestFit="1" customWidth="1"/>
  </cols>
  <sheetData>
    <row r="1" spans="4:13" x14ac:dyDescent="0.3">
      <c r="D1" s="169" t="s">
        <v>85</v>
      </c>
      <c r="E1" s="169"/>
      <c r="F1" s="169"/>
      <c r="G1" s="169"/>
      <c r="H1" s="169"/>
      <c r="I1" s="169"/>
      <c r="J1" s="169"/>
      <c r="K1" s="169"/>
      <c r="L1" s="169"/>
    </row>
    <row r="2" spans="4:13" x14ac:dyDescent="0.3">
      <c r="E2" s="169" t="s">
        <v>86</v>
      </c>
      <c r="F2" s="169"/>
      <c r="G2" s="67" t="s">
        <v>87</v>
      </c>
      <c r="H2" s="67"/>
      <c r="M2" t="s">
        <v>88</v>
      </c>
    </row>
    <row r="3" spans="4:13" x14ac:dyDescent="0.3">
      <c r="D3" t="s">
        <v>89</v>
      </c>
      <c r="E3" t="s">
        <v>90</v>
      </c>
      <c r="F3" t="s">
        <v>91</v>
      </c>
      <c r="G3" t="s">
        <v>92</v>
      </c>
      <c r="H3" t="s">
        <v>93</v>
      </c>
      <c r="I3" t="s">
        <v>94</v>
      </c>
      <c r="J3" t="s">
        <v>95</v>
      </c>
      <c r="K3" t="s">
        <v>96</v>
      </c>
      <c r="L3" t="s">
        <v>97</v>
      </c>
    </row>
    <row r="4" spans="4:13" x14ac:dyDescent="0.3">
      <c r="D4">
        <v>3</v>
      </c>
      <c r="E4">
        <v>10</v>
      </c>
      <c r="F4">
        <v>5</v>
      </c>
      <c r="G4" t="s">
        <v>98</v>
      </c>
      <c r="I4" t="s">
        <v>99</v>
      </c>
      <c r="M4" t="s">
        <v>100</v>
      </c>
    </row>
    <row r="5" spans="4:13" x14ac:dyDescent="0.3">
      <c r="D5">
        <v>1</v>
      </c>
      <c r="E5">
        <v>9</v>
      </c>
      <c r="F5">
        <v>4</v>
      </c>
      <c r="G5" t="s">
        <v>98</v>
      </c>
      <c r="J5" t="s">
        <v>101</v>
      </c>
      <c r="M5" t="s">
        <v>100</v>
      </c>
    </row>
    <row r="6" spans="4:13" x14ac:dyDescent="0.3">
      <c r="D6">
        <v>0</v>
      </c>
      <c r="E6">
        <v>8</v>
      </c>
      <c r="F6">
        <v>3</v>
      </c>
      <c r="G6" t="s">
        <v>98</v>
      </c>
      <c r="K6" t="s">
        <v>102</v>
      </c>
      <c r="M6" t="s">
        <v>100</v>
      </c>
    </row>
    <row r="7" spans="4:13" x14ac:dyDescent="0.3">
      <c r="D7">
        <v>2</v>
      </c>
      <c r="E7">
        <v>7</v>
      </c>
      <c r="F7">
        <v>2</v>
      </c>
      <c r="G7" t="s">
        <v>103</v>
      </c>
      <c r="L7" t="s">
        <v>104</v>
      </c>
      <c r="M7" t="s">
        <v>100</v>
      </c>
    </row>
    <row r="8" spans="4:13" x14ac:dyDescent="0.3">
      <c r="D8">
        <v>4</v>
      </c>
      <c r="E8">
        <v>6</v>
      </c>
      <c r="F8">
        <v>1</v>
      </c>
      <c r="G8" t="s">
        <v>105</v>
      </c>
      <c r="M8" t="s">
        <v>100</v>
      </c>
    </row>
    <row r="13" spans="4:13" x14ac:dyDescent="0.3">
      <c r="D13" s="169" t="s">
        <v>106</v>
      </c>
      <c r="E13" s="169"/>
      <c r="F13" s="169"/>
      <c r="G13" s="169"/>
      <c r="H13" s="169"/>
      <c r="I13" s="169"/>
      <c r="J13" s="169"/>
      <c r="K13" s="169"/>
      <c r="L13" s="169"/>
    </row>
    <row r="14" spans="4:13" x14ac:dyDescent="0.3">
      <c r="E14" s="169" t="s">
        <v>86</v>
      </c>
      <c r="F14" s="169"/>
      <c r="G14" s="169" t="s">
        <v>107</v>
      </c>
      <c r="H14" s="169"/>
    </row>
    <row r="15" spans="4:13" x14ac:dyDescent="0.3">
      <c r="D15" t="s">
        <v>89</v>
      </c>
      <c r="E15" t="s">
        <v>90</v>
      </c>
      <c r="F15" t="s">
        <v>91</v>
      </c>
      <c r="G15" t="s">
        <v>108</v>
      </c>
      <c r="H15" t="s">
        <v>109</v>
      </c>
      <c r="I15" t="s">
        <v>94</v>
      </c>
      <c r="J15" t="s">
        <v>95</v>
      </c>
      <c r="K15" t="s">
        <v>96</v>
      </c>
      <c r="L15" t="s">
        <v>97</v>
      </c>
    </row>
    <row r="16" spans="4:13" x14ac:dyDescent="0.3">
      <c r="D16">
        <v>3</v>
      </c>
      <c r="E16">
        <v>10</v>
      </c>
      <c r="F16">
        <v>5</v>
      </c>
      <c r="G16" t="s">
        <v>110</v>
      </c>
      <c r="I16" t="s">
        <v>111</v>
      </c>
    </row>
    <row r="17" spans="4:12" x14ac:dyDescent="0.3">
      <c r="D17">
        <v>1</v>
      </c>
      <c r="E17">
        <v>9</v>
      </c>
      <c r="F17">
        <v>4</v>
      </c>
      <c r="G17" t="s">
        <v>112</v>
      </c>
      <c r="J17" t="s">
        <v>111</v>
      </c>
    </row>
    <row r="18" spans="4:12" x14ac:dyDescent="0.3">
      <c r="D18">
        <v>0</v>
      </c>
      <c r="E18">
        <v>8</v>
      </c>
      <c r="F18">
        <v>3</v>
      </c>
      <c r="G18" t="s">
        <v>113</v>
      </c>
      <c r="K18" t="s">
        <v>114</v>
      </c>
    </row>
    <row r="19" spans="4:12" x14ac:dyDescent="0.3">
      <c r="D19">
        <v>2</v>
      </c>
      <c r="E19">
        <v>7</v>
      </c>
      <c r="F19">
        <v>2</v>
      </c>
      <c r="G19" t="s">
        <v>112</v>
      </c>
      <c r="L19" t="s">
        <v>111</v>
      </c>
    </row>
    <row r="20" spans="4:12" x14ac:dyDescent="0.3">
      <c r="D20">
        <v>4</v>
      </c>
      <c r="E20">
        <v>6</v>
      </c>
      <c r="F20">
        <v>1</v>
      </c>
      <c r="G20" t="s">
        <v>112</v>
      </c>
    </row>
    <row r="29" spans="4:12" x14ac:dyDescent="0.3">
      <c r="G29" t="s">
        <v>115</v>
      </c>
      <c r="K29" t="s">
        <v>116</v>
      </c>
    </row>
    <row r="31" spans="4:12" x14ac:dyDescent="0.3">
      <c r="G31" t="s">
        <v>117</v>
      </c>
      <c r="K31" t="s">
        <v>118</v>
      </c>
    </row>
    <row r="32" spans="4:12" x14ac:dyDescent="0.3">
      <c r="G32" t="s">
        <v>119</v>
      </c>
      <c r="K32" t="s">
        <v>120</v>
      </c>
    </row>
    <row r="33" spans="7:11" x14ac:dyDescent="0.3">
      <c r="G33" t="s">
        <v>121</v>
      </c>
      <c r="K33" t="s">
        <v>122</v>
      </c>
    </row>
  </sheetData>
  <mergeCells count="5">
    <mergeCell ref="G14:H14"/>
    <mergeCell ref="E2:F2"/>
    <mergeCell ref="D1:L1"/>
    <mergeCell ref="D13:L13"/>
    <mergeCell ref="E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AC7F-7263-4B25-8FC5-140AF7C4D14E}">
  <dimension ref="A5:W69"/>
  <sheetViews>
    <sheetView topLeftCell="A50" zoomScale="85" zoomScaleNormal="85" workbookViewId="0">
      <selection activeCell="F64" sqref="F64"/>
    </sheetView>
  </sheetViews>
  <sheetFormatPr defaultColWidth="9.109375" defaultRowHeight="14.4" x14ac:dyDescent="0.3"/>
  <cols>
    <col min="1" max="1" width="10" bestFit="1" customWidth="1"/>
    <col min="2" max="2" width="31.33203125" bestFit="1" customWidth="1"/>
    <col min="3" max="3" width="21.5546875" bestFit="1" customWidth="1"/>
    <col min="4" max="4" width="15.44140625" bestFit="1" customWidth="1"/>
    <col min="5" max="5" width="45.5546875" bestFit="1" customWidth="1"/>
    <col min="6" max="6" width="54" bestFit="1" customWidth="1"/>
    <col min="7" max="7" width="10.6640625" customWidth="1"/>
    <col min="8" max="8" width="12.44140625" bestFit="1" customWidth="1"/>
    <col min="9" max="9" width="12.44140625" customWidth="1"/>
    <col min="10" max="10" width="10.109375" bestFit="1" customWidth="1"/>
  </cols>
  <sheetData>
    <row r="5" spans="1:14" x14ac:dyDescent="0.3">
      <c r="A5" t="s">
        <v>123</v>
      </c>
      <c r="B5" s="171" t="s">
        <v>124</v>
      </c>
      <c r="C5" s="171"/>
    </row>
    <row r="6" spans="1:14" x14ac:dyDescent="0.3">
      <c r="A6" s="134" t="s">
        <v>125</v>
      </c>
      <c r="B6" s="134" t="s">
        <v>126</v>
      </c>
      <c r="C6" s="134" t="s">
        <v>127</v>
      </c>
      <c r="D6" s="134" t="s">
        <v>128</v>
      </c>
      <c r="E6" s="134" t="s">
        <v>129</v>
      </c>
      <c r="F6" s="134" t="s">
        <v>130</v>
      </c>
      <c r="G6" s="134" t="s">
        <v>131</v>
      </c>
      <c r="H6" s="134" t="s">
        <v>132</v>
      </c>
      <c r="I6" s="73" t="s">
        <v>133</v>
      </c>
    </row>
    <row r="7" spans="1:14" x14ac:dyDescent="0.3">
      <c r="A7" s="134">
        <v>3</v>
      </c>
      <c r="B7" s="134" t="s">
        <v>134</v>
      </c>
      <c r="C7" s="134" t="s">
        <v>135</v>
      </c>
      <c r="D7" s="134">
        <v>44</v>
      </c>
      <c r="E7" s="134" t="s">
        <v>136</v>
      </c>
      <c r="F7" s="134"/>
      <c r="G7" s="135">
        <f>AVERAGE('[1]Mass_CG Raw Data'!I43:M43)</f>
        <v>39.726143711042361</v>
      </c>
      <c r="H7" s="135">
        <f>AVERAGE('[1]Mass_CG Raw Data'!F43:H43)</f>
        <v>36.900073496969164</v>
      </c>
      <c r="I7" s="73">
        <f>115+137.4</f>
        <v>252.4</v>
      </c>
    </row>
    <row r="8" spans="1:14" x14ac:dyDescent="0.3">
      <c r="A8" s="134">
        <v>1</v>
      </c>
      <c r="B8" s="134" t="s">
        <v>137</v>
      </c>
      <c r="C8" s="134" t="s">
        <v>138</v>
      </c>
      <c r="D8" s="134">
        <v>30</v>
      </c>
      <c r="E8" s="134" t="s">
        <v>139</v>
      </c>
      <c r="F8" s="134"/>
      <c r="G8" s="135">
        <f>AVERAGE('[1]Mass_CG Raw Data'!I44:M44)</f>
        <v>50.049198087337402</v>
      </c>
      <c r="H8" s="135">
        <f>AVERAGE('[1]Mass_CG Raw Data'!F44:H44)</f>
        <v>37.202886031414629</v>
      </c>
      <c r="I8" s="73">
        <f>115+140+20</f>
        <v>275</v>
      </c>
    </row>
    <row r="9" spans="1:14" x14ac:dyDescent="0.3">
      <c r="A9" s="134">
        <v>0</v>
      </c>
      <c r="B9" s="134" t="s">
        <v>140</v>
      </c>
      <c r="C9" s="134" t="s">
        <v>141</v>
      </c>
      <c r="D9" s="134">
        <v>38</v>
      </c>
      <c r="E9" s="134" t="s">
        <v>142</v>
      </c>
      <c r="F9" s="134" t="s">
        <v>143</v>
      </c>
      <c r="G9" s="135">
        <f>AVERAGE('[1]Mass_CG Raw Data'!I45:M45)</f>
        <v>30.404135422729485</v>
      </c>
      <c r="H9" s="135">
        <f>AVERAGE('[1]Mass_CG Raw Data'!F45:H45)</f>
        <v>47.999263901614455</v>
      </c>
      <c r="I9" s="73">
        <f>965</f>
        <v>965</v>
      </c>
    </row>
    <row r="10" spans="1:14" x14ac:dyDescent="0.3">
      <c r="A10" s="134">
        <v>2</v>
      </c>
      <c r="B10" s="134" t="s">
        <v>144</v>
      </c>
      <c r="C10" s="134" t="s">
        <v>141</v>
      </c>
      <c r="D10" s="134">
        <v>50</v>
      </c>
      <c r="E10" s="134" t="s">
        <v>145</v>
      </c>
      <c r="F10" s="134" t="s">
        <v>146</v>
      </c>
      <c r="G10" s="135">
        <f>AVERAGE('[1]Mass_CG Raw Data'!I46:M46)</f>
        <v>50.990226010799852</v>
      </c>
      <c r="H10" s="135">
        <f>AVERAGE('[1]Mass_CG Raw Data'!F46:H46)</f>
        <v>40.917999198268639</v>
      </c>
      <c r="I10" s="73">
        <f>120+115</f>
        <v>235</v>
      </c>
    </row>
    <row r="11" spans="1:14" x14ac:dyDescent="0.3">
      <c r="A11" s="134">
        <v>4</v>
      </c>
      <c r="B11" s="134" t="s">
        <v>147</v>
      </c>
      <c r="C11" s="134" t="s">
        <v>135</v>
      </c>
      <c r="D11" s="134">
        <v>27</v>
      </c>
      <c r="E11" s="134" t="s">
        <v>148</v>
      </c>
      <c r="F11" s="134"/>
      <c r="G11" s="135">
        <f>AVERAGE('[1]Mass_CG Raw Data'!I47:M47)</f>
        <v>34.251016754309418</v>
      </c>
      <c r="H11" s="135">
        <f>AVERAGE('[1]Mass_CG Raw Data'!F47:H47)</f>
        <v>20.816169832880959</v>
      </c>
      <c r="I11" s="73">
        <f>115+139.1</f>
        <v>254.1</v>
      </c>
    </row>
    <row r="14" spans="1:14" x14ac:dyDescent="0.3">
      <c r="A14" t="s">
        <v>149</v>
      </c>
      <c r="B14" s="171" t="s">
        <v>124</v>
      </c>
      <c r="C14" s="171"/>
      <c r="J14" s="172" t="s">
        <v>150</v>
      </c>
      <c r="K14" s="172"/>
      <c r="L14" s="172"/>
      <c r="M14" s="172"/>
    </row>
    <row r="15" spans="1:14" x14ac:dyDescent="0.3">
      <c r="A15" s="134" t="s">
        <v>125</v>
      </c>
      <c r="B15" s="134" t="s">
        <v>151</v>
      </c>
      <c r="C15" s="134" t="s">
        <v>127</v>
      </c>
      <c r="D15" s="134" t="s">
        <v>152</v>
      </c>
      <c r="E15" s="134" t="s">
        <v>129</v>
      </c>
      <c r="F15" s="134" t="s">
        <v>130</v>
      </c>
      <c r="G15" s="134" t="s">
        <v>153</v>
      </c>
      <c r="H15" s="134" t="s">
        <v>132</v>
      </c>
      <c r="I15" s="134" t="s">
        <v>154</v>
      </c>
      <c r="J15" s="134" t="s">
        <v>133</v>
      </c>
      <c r="K15" s="134" t="s">
        <v>155</v>
      </c>
      <c r="L15" s="134" t="s">
        <v>156</v>
      </c>
      <c r="M15" s="134" t="s">
        <v>157</v>
      </c>
      <c r="N15" s="134" t="s">
        <v>158</v>
      </c>
    </row>
    <row r="16" spans="1:14" x14ac:dyDescent="0.3">
      <c r="A16" s="134">
        <v>3</v>
      </c>
      <c r="B16" s="134" t="s">
        <v>134</v>
      </c>
      <c r="C16" s="134" t="s">
        <v>135</v>
      </c>
      <c r="D16" s="134">
        <v>37</v>
      </c>
      <c r="E16" s="134" t="s">
        <v>159</v>
      </c>
      <c r="F16" s="134"/>
      <c r="G16" s="135">
        <f>AVERAGE('[1]Mass_CG Raw Data'!N43:P43)</f>
        <v>30.905589094055021</v>
      </c>
      <c r="H16" s="135">
        <f>AVERAGE('[1]Mass_CG Raw Data'!EJ43:EL43)</f>
        <v>38.702723957512156</v>
      </c>
      <c r="I16" s="135">
        <f>AVERAGE('[1]Mass_CG Raw Data'!EM43:EQ43)</f>
        <v>36.989678950511404</v>
      </c>
      <c r="J16" s="134">
        <f>114+137.4+201.1</f>
        <v>452.5</v>
      </c>
      <c r="K16" s="134">
        <f>201.1+137.4</f>
        <v>338.5</v>
      </c>
      <c r="L16" s="134">
        <f>210.5</f>
        <v>210.5</v>
      </c>
      <c r="M16" s="134">
        <f>J16-K16+210.5</f>
        <v>324.5</v>
      </c>
      <c r="N16" s="136" t="s">
        <v>160</v>
      </c>
    </row>
    <row r="17" spans="1:14" x14ac:dyDescent="0.3">
      <c r="A17" s="134">
        <v>1</v>
      </c>
      <c r="B17" s="134" t="s">
        <v>161</v>
      </c>
      <c r="C17" s="134" t="s">
        <v>162</v>
      </c>
      <c r="D17" s="134">
        <v>32</v>
      </c>
      <c r="E17" s="134" t="s">
        <v>163</v>
      </c>
      <c r="F17" s="134" t="s">
        <v>164</v>
      </c>
      <c r="G17" s="135">
        <f>AVERAGE('[1]Mass_CG Raw Data'!N44:P44)</f>
        <v>51.499999999999993</v>
      </c>
      <c r="H17" s="135">
        <f>AVERAGE('[1]Mass_CG Raw Data'!EJ44:EL44)</f>
        <v>32.235389768016638</v>
      </c>
      <c r="I17" s="135">
        <f>AVERAGE('[1]Mass_CG Raw Data'!EM44:EQ44)</f>
        <v>37.118328875440014</v>
      </c>
      <c r="J17" s="134">
        <f>114+140.9</f>
        <v>254.9</v>
      </c>
      <c r="K17" s="134">
        <v>140.9</v>
      </c>
      <c r="L17" s="134">
        <f>225.3+40.1</f>
        <v>265.40000000000003</v>
      </c>
      <c r="M17" s="134">
        <f>J17-K17+L17</f>
        <v>379.40000000000003</v>
      </c>
      <c r="N17" s="136"/>
    </row>
    <row r="18" spans="1:14" x14ac:dyDescent="0.3">
      <c r="A18" s="134">
        <v>0</v>
      </c>
      <c r="B18" s="134" t="s">
        <v>165</v>
      </c>
      <c r="C18" s="134" t="s">
        <v>141</v>
      </c>
      <c r="D18" s="134">
        <v>46</v>
      </c>
      <c r="E18" s="134" t="s">
        <v>166</v>
      </c>
      <c r="F18" s="134"/>
      <c r="G18" s="135">
        <f>AVERAGE('[1]Mass_CG Raw Data'!N45:P45)</f>
        <v>41.156498822321574</v>
      </c>
      <c r="H18" s="135">
        <f>AVERAGE('[1]Mass_CG Raw Data'!EJ45:EL45)</f>
        <v>45.84028199300792</v>
      </c>
      <c r="I18" s="135">
        <f>AVERAGE('[1]Mass_CG Raw Data'!EM45:EQ45)</f>
        <v>47.054930499299225</v>
      </c>
      <c r="J18" s="134">
        <v>810.2</v>
      </c>
      <c r="K18" s="134">
        <v>120</v>
      </c>
      <c r="L18" s="134">
        <v>272.8</v>
      </c>
      <c r="M18" s="134">
        <f>J18-K18+L18</f>
        <v>963</v>
      </c>
      <c r="N18" s="136"/>
    </row>
    <row r="19" spans="1:14" x14ac:dyDescent="0.3">
      <c r="A19" s="134">
        <v>2</v>
      </c>
      <c r="B19" s="134" t="s">
        <v>167</v>
      </c>
      <c r="C19" s="134" t="s">
        <v>168</v>
      </c>
      <c r="D19" s="134">
        <v>47</v>
      </c>
      <c r="E19" s="134" t="s">
        <v>169</v>
      </c>
      <c r="F19" s="134" t="s">
        <v>170</v>
      </c>
      <c r="G19" s="135">
        <f>AVERAGE('[1]Mass_CG Raw Data'!N46:P46)</f>
        <v>51.499999999999993</v>
      </c>
      <c r="H19" s="135">
        <f>AVERAGE('[1]Mass_CG Raw Data'!EJ46:EL46)</f>
        <v>50.406433977867323</v>
      </c>
      <c r="I19" s="135">
        <f>AVERAGE('[1]Mass_CG Raw Data'!EM46:EQ46)</f>
        <v>51.369218299969624</v>
      </c>
      <c r="J19" s="134">
        <f>115+272.8</f>
        <v>387.8</v>
      </c>
      <c r="K19" s="134">
        <v>272.8</v>
      </c>
      <c r="L19" s="134">
        <v>120</v>
      </c>
      <c r="M19" s="134">
        <f>J19-K19+L19</f>
        <v>235</v>
      </c>
      <c r="N19" s="136"/>
    </row>
    <row r="20" spans="1:14" x14ac:dyDescent="0.3">
      <c r="A20" s="134">
        <v>4</v>
      </c>
      <c r="B20" s="134" t="s">
        <v>147</v>
      </c>
      <c r="C20" s="134" t="s">
        <v>171</v>
      </c>
      <c r="D20" s="134">
        <v>25</v>
      </c>
      <c r="E20" s="134" t="s">
        <v>172</v>
      </c>
      <c r="F20" s="134" t="s">
        <v>173</v>
      </c>
      <c r="G20" s="135">
        <f>AVERAGE('[1]Mass_CG Raw Data'!N47:P47)</f>
        <v>29.666038374096591</v>
      </c>
      <c r="H20" s="135">
        <f>AVERAGE('[1]Mass_CG Raw Data'!EJ47:EL47)</f>
        <v>23.428081106581647</v>
      </c>
      <c r="I20" s="135">
        <f>AVERAGE('[1]Mass_CG Raw Data'!EM47:EQ47)</f>
        <v>23.480394134690368</v>
      </c>
      <c r="J20" s="134">
        <v>457.5</v>
      </c>
      <c r="K20" s="134">
        <v>199.8</v>
      </c>
      <c r="L20" s="134">
        <v>190.7</v>
      </c>
      <c r="M20" s="134">
        <f>J20-K20+L20</f>
        <v>448.4</v>
      </c>
      <c r="N20" s="136" t="s">
        <v>174</v>
      </c>
    </row>
    <row r="21" spans="1:14" x14ac:dyDescent="0.3">
      <c r="M21" s="137"/>
    </row>
    <row r="23" spans="1:14" x14ac:dyDescent="0.3">
      <c r="A23" t="s">
        <v>175</v>
      </c>
      <c r="B23" s="171" t="s">
        <v>124</v>
      </c>
      <c r="C23" s="171"/>
    </row>
    <row r="24" spans="1:14" x14ac:dyDescent="0.3">
      <c r="A24" s="134" t="s">
        <v>125</v>
      </c>
      <c r="B24" s="134" t="s">
        <v>151</v>
      </c>
      <c r="C24" s="134" t="s">
        <v>127</v>
      </c>
      <c r="D24" s="134" t="s">
        <v>152</v>
      </c>
      <c r="E24" s="134" t="s">
        <v>129</v>
      </c>
      <c r="F24" s="134" t="s">
        <v>130</v>
      </c>
      <c r="G24" s="134" t="s">
        <v>153</v>
      </c>
      <c r="H24" s="134" t="s">
        <v>132</v>
      </c>
      <c r="I24" s="134" t="s">
        <v>154</v>
      </c>
    </row>
    <row r="25" spans="1:14" x14ac:dyDescent="0.3">
      <c r="A25" s="134">
        <v>3</v>
      </c>
      <c r="B25" s="134" t="s">
        <v>176</v>
      </c>
      <c r="C25" s="134" t="s">
        <v>135</v>
      </c>
      <c r="D25" s="135">
        <f>'[1]Summary '!O43</f>
        <v>34.435229142354423</v>
      </c>
      <c r="E25" t="s">
        <v>136</v>
      </c>
      <c r="F25" s="134"/>
      <c r="G25" s="135">
        <f>'[1]ATV Only Summary'!B40</f>
        <v>37.171659949187635</v>
      </c>
      <c r="H25" s="135"/>
      <c r="I25" s="135"/>
    </row>
    <row r="26" spans="1:14" x14ac:dyDescent="0.3">
      <c r="A26" s="134">
        <v>1</v>
      </c>
      <c r="B26" s="134" t="s">
        <v>177</v>
      </c>
      <c r="C26" s="134" t="s">
        <v>178</v>
      </c>
      <c r="D26" s="135">
        <f>'[1]Summary '!O44</f>
        <v>37.733484840131204</v>
      </c>
      <c r="E26" s="134" t="s">
        <v>179</v>
      </c>
      <c r="F26" s="134"/>
      <c r="G26" s="135">
        <f>'[1]ATV Only Summary'!B41</f>
        <v>47.684076697520744</v>
      </c>
      <c r="H26" s="135"/>
      <c r="I26" s="135"/>
    </row>
    <row r="27" spans="1:14" x14ac:dyDescent="0.3">
      <c r="A27" s="134">
        <v>0</v>
      </c>
      <c r="B27" s="134" t="s">
        <v>180</v>
      </c>
      <c r="C27" s="134" t="s">
        <v>141</v>
      </c>
      <c r="D27" s="135">
        <f>'[1]Summary '!O45</f>
        <v>41.38478272975911</v>
      </c>
      <c r="E27" s="134" t="s">
        <v>181</v>
      </c>
      <c r="F27" s="134"/>
      <c r="G27" s="135">
        <f>'[1]ATV Only Summary'!B42</f>
        <v>34.206952000490709</v>
      </c>
      <c r="H27" s="135"/>
      <c r="I27" s="135"/>
    </row>
    <row r="28" spans="1:14" x14ac:dyDescent="0.3">
      <c r="A28" s="134">
        <v>2</v>
      </c>
      <c r="B28" s="134" t="s">
        <v>182</v>
      </c>
      <c r="C28" s="134" t="s">
        <v>183</v>
      </c>
      <c r="D28" s="135">
        <f>'[1]Summary '!O46</f>
        <v>44.772644260829409</v>
      </c>
      <c r="E28" s="134" t="s">
        <v>136</v>
      </c>
      <c r="F28" s="134"/>
      <c r="G28" s="135">
        <f>'[1]ATV Only Summary'!B43</f>
        <v>44.388213520032821</v>
      </c>
      <c r="H28" s="135"/>
      <c r="I28" s="135"/>
    </row>
    <row r="29" spans="1:14" x14ac:dyDescent="0.3">
      <c r="A29" s="134">
        <v>4</v>
      </c>
      <c r="B29" s="134" t="s">
        <v>184</v>
      </c>
      <c r="C29" s="134" t="s">
        <v>171</v>
      </c>
      <c r="D29" s="135">
        <f>'[1]Summary '!O47</f>
        <v>32.260510585419937</v>
      </c>
      <c r="E29" s="134" t="s">
        <v>185</v>
      </c>
      <c r="F29" s="134"/>
      <c r="G29" s="135">
        <f>'[1]ATV Only Summary'!B44</f>
        <v>39.535339695544444</v>
      </c>
      <c r="H29" s="135"/>
      <c r="I29" s="135"/>
    </row>
    <row r="31" spans="1:14" x14ac:dyDescent="0.3">
      <c r="C31" s="73"/>
    </row>
    <row r="32" spans="1:14" x14ac:dyDescent="0.3">
      <c r="A32" s="138">
        <v>43317</v>
      </c>
      <c r="B32" s="171" t="s">
        <v>124</v>
      </c>
      <c r="C32" s="171"/>
    </row>
    <row r="33" spans="1:23" x14ac:dyDescent="0.3">
      <c r="A33" s="134" t="s">
        <v>125</v>
      </c>
      <c r="B33" s="134" t="s">
        <v>151</v>
      </c>
      <c r="C33" s="134" t="s">
        <v>127</v>
      </c>
      <c r="D33" s="134" t="s">
        <v>152</v>
      </c>
      <c r="E33" s="134" t="s">
        <v>129</v>
      </c>
      <c r="F33" s="134" t="s">
        <v>130</v>
      </c>
      <c r="G33" s="134" t="s">
        <v>153</v>
      </c>
      <c r="H33" s="134" t="s">
        <v>132</v>
      </c>
      <c r="I33" s="134" t="s">
        <v>154</v>
      </c>
      <c r="J33" s="172" t="s">
        <v>186</v>
      </c>
      <c r="K33" s="172"/>
      <c r="L33" s="172"/>
      <c r="M33" s="172"/>
      <c r="N33" s="172" t="s">
        <v>187</v>
      </c>
      <c r="O33" s="172"/>
      <c r="P33" s="172"/>
      <c r="Q33" s="172"/>
      <c r="R33" s="172" t="s">
        <v>188</v>
      </c>
      <c r="S33" s="172"/>
      <c r="T33" s="172"/>
      <c r="U33" s="172"/>
    </row>
    <row r="34" spans="1:23" x14ac:dyDescent="0.3">
      <c r="A34" s="134">
        <v>3</v>
      </c>
      <c r="B34" s="134" t="s">
        <v>176</v>
      </c>
      <c r="C34" s="134" t="s">
        <v>189</v>
      </c>
      <c r="D34" s="11">
        <v>39.528887073894168</v>
      </c>
      <c r="E34" t="s">
        <v>190</v>
      </c>
      <c r="F34" s="134" t="s">
        <v>191</v>
      </c>
      <c r="G34" s="139">
        <v>37.554795946290085</v>
      </c>
      <c r="H34" s="135"/>
      <c r="I34" s="135"/>
      <c r="J34" s="134" t="s">
        <v>133</v>
      </c>
      <c r="K34" s="134" t="s">
        <v>155</v>
      </c>
      <c r="L34" s="134" t="s">
        <v>156</v>
      </c>
      <c r="M34" s="134" t="s">
        <v>157</v>
      </c>
      <c r="N34" s="134" t="s">
        <v>133</v>
      </c>
      <c r="O34" s="134" t="s">
        <v>155</v>
      </c>
      <c r="P34" s="134" t="s">
        <v>156</v>
      </c>
      <c r="Q34" s="134" t="s">
        <v>157</v>
      </c>
      <c r="R34" s="134" t="s">
        <v>133</v>
      </c>
      <c r="S34" s="134" t="s">
        <v>155</v>
      </c>
      <c r="T34" s="134" t="s">
        <v>156</v>
      </c>
      <c r="U34" s="134" t="s">
        <v>157</v>
      </c>
    </row>
    <row r="35" spans="1:23" x14ac:dyDescent="0.3">
      <c r="A35" s="134">
        <v>1</v>
      </c>
      <c r="B35" s="134" t="s">
        <v>192</v>
      </c>
      <c r="C35" s="134" t="s">
        <v>193</v>
      </c>
      <c r="D35" s="11">
        <v>11.157142857142857</v>
      </c>
      <c r="E35" s="134" t="s">
        <v>194</v>
      </c>
      <c r="F35" s="134"/>
      <c r="G35" s="139">
        <v>37.896967430672944</v>
      </c>
      <c r="H35" s="135"/>
      <c r="I35" s="135"/>
      <c r="J35" s="134">
        <v>324.5</v>
      </c>
      <c r="K35" s="134">
        <v>210.5</v>
      </c>
      <c r="L35" s="134">
        <v>274.5</v>
      </c>
      <c r="M35" s="134">
        <f>J35-K35+L35</f>
        <v>388.5</v>
      </c>
      <c r="N35" s="134">
        <v>388.5</v>
      </c>
      <c r="O35" s="134">
        <v>274.8</v>
      </c>
      <c r="P35" s="134">
        <f>36.8+139.1</f>
        <v>175.89999999999998</v>
      </c>
      <c r="Q35" s="134">
        <f>N35-O35+P35</f>
        <v>289.59999999999997</v>
      </c>
      <c r="R35" s="134">
        <v>289.59999999999997</v>
      </c>
      <c r="S35" s="134"/>
      <c r="T35" s="134">
        <v>100.3</v>
      </c>
      <c r="U35" s="134">
        <f>R35-S35+T35</f>
        <v>389.9</v>
      </c>
      <c r="V35">
        <f>114+36.8+139.1+100.3</f>
        <v>390.2</v>
      </c>
      <c r="W35">
        <f>114+139+36.8</f>
        <v>289.8</v>
      </c>
    </row>
    <row r="36" spans="1:23" x14ac:dyDescent="0.3">
      <c r="A36" s="134">
        <v>0</v>
      </c>
      <c r="B36" s="134" t="s">
        <v>180</v>
      </c>
      <c r="C36" s="134" t="s">
        <v>195</v>
      </c>
      <c r="D36" s="11">
        <v>40.258166052975398</v>
      </c>
      <c r="E36" s="134" t="s">
        <v>196</v>
      </c>
      <c r="F36" s="134"/>
      <c r="G36" s="139">
        <v>37.017031305568338</v>
      </c>
      <c r="H36" s="135"/>
      <c r="I36" s="135"/>
      <c r="J36" s="134">
        <v>379.40000000000003</v>
      </c>
      <c r="K36" s="134"/>
      <c r="L36" s="134"/>
      <c r="M36" s="134">
        <f>J36-K36+L36</f>
        <v>379.40000000000003</v>
      </c>
      <c r="N36" s="134">
        <v>379.40000000000003</v>
      </c>
      <c r="O36" s="134">
        <v>41.8</v>
      </c>
      <c r="P36" s="134">
        <v>140.9</v>
      </c>
      <c r="Q36" s="134">
        <f>N36-O36+P36</f>
        <v>478.5</v>
      </c>
      <c r="R36" s="134">
        <v>478.5</v>
      </c>
      <c r="S36" s="134">
        <v>140.9</v>
      </c>
      <c r="T36" s="134">
        <v>40</v>
      </c>
      <c r="U36" s="134">
        <f>R36-S36+T36</f>
        <v>377.6</v>
      </c>
      <c r="V36">
        <f>224+40+114</f>
        <v>378</v>
      </c>
    </row>
    <row r="37" spans="1:23" x14ac:dyDescent="0.3">
      <c r="A37" s="134">
        <v>2</v>
      </c>
      <c r="B37" s="134" t="s">
        <v>182</v>
      </c>
      <c r="C37" s="134" t="s">
        <v>183</v>
      </c>
      <c r="D37" s="11">
        <v>44.160037878787875</v>
      </c>
      <c r="E37" s="134" t="s">
        <v>197</v>
      </c>
      <c r="F37" s="134"/>
      <c r="G37" s="139">
        <v>37.883081969007655</v>
      </c>
      <c r="H37" s="135"/>
      <c r="I37" s="135"/>
      <c r="J37" s="134">
        <v>963</v>
      </c>
      <c r="K37" s="134">
        <v>272.8</v>
      </c>
      <c r="L37" s="134">
        <v>120</v>
      </c>
      <c r="M37" s="134">
        <f>J37-K37+L37</f>
        <v>810.2</v>
      </c>
      <c r="N37" s="134">
        <v>810.2</v>
      </c>
      <c r="O37" s="134"/>
      <c r="P37" s="134"/>
      <c r="Q37" s="134">
        <f>N37-O37+P37</f>
        <v>810.2</v>
      </c>
      <c r="R37" s="134">
        <v>810.2</v>
      </c>
      <c r="S37" s="134"/>
      <c r="T37" s="134"/>
      <c r="U37" s="134">
        <f>R37-S37+T37</f>
        <v>810.2</v>
      </c>
      <c r="W37">
        <v>810.2</v>
      </c>
    </row>
    <row r="38" spans="1:23" x14ac:dyDescent="0.3">
      <c r="A38" s="134">
        <v>4</v>
      </c>
      <c r="B38" s="134" t="s">
        <v>184</v>
      </c>
      <c r="C38" s="134" t="s">
        <v>198</v>
      </c>
      <c r="D38" s="11">
        <v>43.626930885338503</v>
      </c>
      <c r="E38" s="140" t="s">
        <v>199</v>
      </c>
      <c r="F38" s="134"/>
      <c r="G38" s="139">
        <v>37.697666251513191</v>
      </c>
      <c r="H38" s="135"/>
      <c r="I38" s="135"/>
      <c r="J38" s="134">
        <v>235</v>
      </c>
      <c r="K38" s="134">
        <v>120</v>
      </c>
      <c r="L38" s="134">
        <v>272.8</v>
      </c>
      <c r="M38" s="134">
        <f>J38-K38+L38</f>
        <v>387.8</v>
      </c>
      <c r="N38" s="134">
        <v>387.8</v>
      </c>
      <c r="O38" s="134"/>
      <c r="P38" s="134"/>
      <c r="Q38" s="134">
        <f>N38-O38+P38</f>
        <v>387.8</v>
      </c>
      <c r="R38" s="134">
        <v>387.8</v>
      </c>
      <c r="S38" s="134"/>
      <c r="T38" s="134"/>
      <c r="U38" s="134">
        <f>R38-S38+T38</f>
        <v>387.8</v>
      </c>
      <c r="V38">
        <f>115+272.8</f>
        <v>387.8</v>
      </c>
      <c r="W38">
        <f>272.8+115</f>
        <v>387.8</v>
      </c>
    </row>
    <row r="39" spans="1:23" x14ac:dyDescent="0.3">
      <c r="G39" s="141"/>
      <c r="J39" s="134">
        <v>448.4</v>
      </c>
      <c r="K39" s="134">
        <f>190.7+139.1</f>
        <v>329.79999999999995</v>
      </c>
      <c r="L39" s="134">
        <f>219.3+50.4</f>
        <v>269.7</v>
      </c>
      <c r="M39" s="134">
        <f>J39-K39+L39</f>
        <v>388.3</v>
      </c>
      <c r="N39" s="134">
        <v>388.3</v>
      </c>
      <c r="O39" s="134"/>
      <c r="P39" s="134"/>
      <c r="Q39" s="134">
        <f>N39-O39+P39</f>
        <v>388.3</v>
      </c>
      <c r="R39" s="134">
        <v>388.3</v>
      </c>
      <c r="S39" s="134"/>
      <c r="T39" s="134"/>
      <c r="U39" s="134">
        <f>R39-S39+T39</f>
        <v>388.3</v>
      </c>
      <c r="V39">
        <f>115+274.4</f>
        <v>389.4</v>
      </c>
      <c r="W39">
        <f>219.3+50.4+115</f>
        <v>384.7</v>
      </c>
    </row>
    <row r="40" spans="1:23" x14ac:dyDescent="0.3">
      <c r="A40" s="138">
        <v>43266</v>
      </c>
    </row>
    <row r="41" spans="1:23" ht="27.75" customHeight="1" x14ac:dyDescent="0.3">
      <c r="A41" s="153" t="s">
        <v>125</v>
      </c>
      <c r="B41" s="153" t="s">
        <v>200</v>
      </c>
      <c r="C41" s="153" t="s">
        <v>201</v>
      </c>
      <c r="D41" s="144" t="s">
        <v>202</v>
      </c>
      <c r="E41" s="153" t="s">
        <v>203</v>
      </c>
    </row>
    <row r="42" spans="1:23" x14ac:dyDescent="0.3">
      <c r="A42" s="153">
        <v>3</v>
      </c>
      <c r="B42" s="153">
        <f>13+6</f>
        <v>19</v>
      </c>
      <c r="C42" s="153">
        <f>36.8+139.1+114</f>
        <v>289.89999999999998</v>
      </c>
      <c r="D42" s="153">
        <f>C42-B42</f>
        <v>270.89999999999998</v>
      </c>
      <c r="E42" s="153">
        <v>301</v>
      </c>
    </row>
    <row r="43" spans="1:23" x14ac:dyDescent="0.3">
      <c r="A43" s="153">
        <v>1</v>
      </c>
      <c r="B43" s="153">
        <f>27+19</f>
        <v>46</v>
      </c>
      <c r="C43" s="153">
        <v>377.6</v>
      </c>
      <c r="D43" s="153">
        <f>C43-B43</f>
        <v>331.6</v>
      </c>
      <c r="E43" s="153">
        <v>431.4</v>
      </c>
    </row>
    <row r="44" spans="1:23" x14ac:dyDescent="0.3">
      <c r="A44" s="153" t="s">
        <v>204</v>
      </c>
      <c r="B44" s="153">
        <f>10+1+38+12+1</f>
        <v>62</v>
      </c>
      <c r="C44" s="153">
        <v>810.2</v>
      </c>
      <c r="D44" s="153">
        <f>C44-B44</f>
        <v>748.2</v>
      </c>
      <c r="E44" s="153">
        <v>802.4</v>
      </c>
    </row>
    <row r="45" spans="1:23" x14ac:dyDescent="0.3">
      <c r="A45" s="153">
        <v>2</v>
      </c>
      <c r="B45" s="153">
        <f>17+29+4+1</f>
        <v>51</v>
      </c>
      <c r="C45" s="153">
        <f>42.6+115+272.8</f>
        <v>430.4</v>
      </c>
      <c r="D45" s="153">
        <f>C45-B45</f>
        <v>379.4</v>
      </c>
      <c r="E45" s="153">
        <v>418.1</v>
      </c>
    </row>
    <row r="46" spans="1:23" x14ac:dyDescent="0.3">
      <c r="A46" s="153">
        <v>4</v>
      </c>
      <c r="B46" s="153">
        <v>19</v>
      </c>
      <c r="C46" s="153">
        <f>50.4+219.3+115</f>
        <v>384.7</v>
      </c>
      <c r="D46" s="153">
        <f>C46-B46</f>
        <v>365.7</v>
      </c>
      <c r="E46" s="153">
        <v>401.4</v>
      </c>
    </row>
    <row r="50" spans="1:10" x14ac:dyDescent="0.3">
      <c r="A50" s="169" t="s">
        <v>205</v>
      </c>
      <c r="B50" s="169"/>
      <c r="C50" s="169"/>
      <c r="D50" s="169"/>
      <c r="E50" s="169"/>
      <c r="F50" s="169"/>
      <c r="G50" s="169"/>
      <c r="H50" s="169"/>
      <c r="I50" s="169"/>
    </row>
    <row r="51" spans="1:10" x14ac:dyDescent="0.3">
      <c r="A51" s="138">
        <v>43580</v>
      </c>
      <c r="B51" s="172" t="s">
        <v>206</v>
      </c>
      <c r="C51" s="172"/>
      <c r="D51" s="172"/>
      <c r="E51" s="136"/>
      <c r="F51" s="136"/>
      <c r="G51" s="136"/>
      <c r="H51" s="136"/>
      <c r="I51" s="136"/>
      <c r="J51" s="145"/>
    </row>
    <row r="52" spans="1:10" x14ac:dyDescent="0.3">
      <c r="A52" s="153" t="s">
        <v>125</v>
      </c>
      <c r="B52" s="142">
        <v>43252</v>
      </c>
      <c r="C52" s="143">
        <v>43553</v>
      </c>
      <c r="D52" s="153" t="s">
        <v>207</v>
      </c>
      <c r="E52" s="153" t="s">
        <v>208</v>
      </c>
      <c r="F52" s="153" t="s">
        <v>209</v>
      </c>
      <c r="G52" s="153" t="s">
        <v>210</v>
      </c>
      <c r="H52" s="153" t="s">
        <v>211</v>
      </c>
      <c r="I52" s="134" t="s">
        <v>212</v>
      </c>
    </row>
    <row r="53" spans="1:10" x14ac:dyDescent="0.3">
      <c r="A53" s="153">
        <v>3</v>
      </c>
      <c r="B53" s="153">
        <v>389.9</v>
      </c>
      <c r="C53" s="153">
        <f>293.7+57.8</f>
        <v>351.5</v>
      </c>
      <c r="D53" s="153">
        <f>C53</f>
        <v>351.5</v>
      </c>
      <c r="E53" s="153">
        <f>D53</f>
        <v>351.5</v>
      </c>
      <c r="F53" s="153">
        <f>E53-57.8</f>
        <v>293.7</v>
      </c>
      <c r="G53" s="153">
        <f>F53</f>
        <v>293.7</v>
      </c>
      <c r="H53" s="153">
        <f>G53+30</f>
        <v>323.7</v>
      </c>
      <c r="I53" s="134" t="s">
        <v>213</v>
      </c>
    </row>
    <row r="54" spans="1:10" x14ac:dyDescent="0.3">
      <c r="A54" s="153">
        <v>1</v>
      </c>
      <c r="B54" s="153">
        <v>377.6</v>
      </c>
      <c r="C54" s="153">
        <v>431.3</v>
      </c>
      <c r="D54" s="153">
        <f>C54</f>
        <v>431.3</v>
      </c>
      <c r="E54" s="153">
        <f>D54+143.8</f>
        <v>575.1</v>
      </c>
      <c r="F54" s="153">
        <f>E54+57.8</f>
        <v>632.9</v>
      </c>
      <c r="G54" s="153">
        <f>F54-143.8</f>
        <v>489.09999999999997</v>
      </c>
      <c r="H54" s="153">
        <f>G54</f>
        <v>489.09999999999997</v>
      </c>
      <c r="I54" s="134" t="s">
        <v>214</v>
      </c>
    </row>
    <row r="55" spans="1:10" x14ac:dyDescent="0.3">
      <c r="A55" s="153">
        <v>0</v>
      </c>
      <c r="B55" s="153">
        <v>810.2</v>
      </c>
      <c r="C55" s="153">
        <f>813+143.8</f>
        <v>956.8</v>
      </c>
      <c r="D55" s="153">
        <f>C55</f>
        <v>956.8</v>
      </c>
      <c r="E55" s="153">
        <f>D55-143.8</f>
        <v>813</v>
      </c>
      <c r="F55" s="153">
        <f>E55</f>
        <v>813</v>
      </c>
      <c r="G55" s="153">
        <f>F55</f>
        <v>813</v>
      </c>
      <c r="H55" s="153">
        <f>G55</f>
        <v>813</v>
      </c>
      <c r="I55" s="134" t="s">
        <v>215</v>
      </c>
    </row>
    <row r="56" spans="1:10" x14ac:dyDescent="0.3">
      <c r="A56" s="153">
        <v>2</v>
      </c>
      <c r="B56" s="153">
        <v>387.8</v>
      </c>
      <c r="C56" s="153">
        <f>420.4</f>
        <v>420.4</v>
      </c>
      <c r="D56" s="153">
        <f>C56</f>
        <v>420.4</v>
      </c>
      <c r="E56" s="153">
        <f>D56</f>
        <v>420.4</v>
      </c>
      <c r="F56" s="153">
        <f>E56</f>
        <v>420.4</v>
      </c>
      <c r="G56" s="153">
        <v>417</v>
      </c>
      <c r="H56" s="153">
        <f>G56</f>
        <v>417</v>
      </c>
      <c r="I56" s="134" t="s">
        <v>213</v>
      </c>
    </row>
    <row r="57" spans="1:10" x14ac:dyDescent="0.3">
      <c r="A57" s="153">
        <v>4</v>
      </c>
      <c r="B57" s="153">
        <v>388.3</v>
      </c>
      <c r="C57" s="153">
        <v>417</v>
      </c>
      <c r="D57" s="153">
        <f>C57</f>
        <v>417</v>
      </c>
      <c r="E57" s="153">
        <f>D57</f>
        <v>417</v>
      </c>
      <c r="F57" s="153">
        <f>E57</f>
        <v>417</v>
      </c>
      <c r="G57" s="153">
        <f>F57</f>
        <v>417</v>
      </c>
      <c r="H57" s="153">
        <f>G57</f>
        <v>417</v>
      </c>
      <c r="I57" s="134" t="s">
        <v>213</v>
      </c>
    </row>
    <row r="58" spans="1:10" x14ac:dyDescent="0.3">
      <c r="A58" s="153" t="s">
        <v>216</v>
      </c>
      <c r="B58" s="153">
        <f>SUM(B53:B57)</f>
        <v>2353.8000000000002</v>
      </c>
      <c r="C58" s="153">
        <f>SUM(C53:C57)</f>
        <v>2577</v>
      </c>
      <c r="D58" s="153">
        <f t="shared" ref="D58:G58" si="0">SUM(D53:D57)</f>
        <v>2577</v>
      </c>
      <c r="E58" s="153">
        <f t="shared" si="0"/>
        <v>2577</v>
      </c>
      <c r="F58" s="153">
        <f t="shared" si="0"/>
        <v>2577</v>
      </c>
      <c r="G58" s="153">
        <f t="shared" si="0"/>
        <v>2429.8000000000002</v>
      </c>
      <c r="H58" s="153"/>
      <c r="I58" s="134"/>
    </row>
    <row r="61" spans="1:10" x14ac:dyDescent="0.3">
      <c r="A61" s="169" t="s">
        <v>217</v>
      </c>
      <c r="B61" s="169"/>
      <c r="C61" s="169"/>
      <c r="D61" s="169"/>
      <c r="E61" s="169"/>
      <c r="F61" s="169"/>
      <c r="G61" s="169"/>
      <c r="H61" s="169"/>
      <c r="I61" s="169"/>
    </row>
    <row r="62" spans="1:10" x14ac:dyDescent="0.3">
      <c r="A62" s="138">
        <v>43595</v>
      </c>
      <c r="B62" s="172" t="s">
        <v>206</v>
      </c>
      <c r="C62" s="172"/>
      <c r="D62" s="172"/>
      <c r="E62" s="136"/>
      <c r="F62" s="136"/>
      <c r="G62" s="136"/>
      <c r="H62" s="136"/>
      <c r="I62" s="136"/>
    </row>
    <row r="63" spans="1:10" s="148" customFormat="1" ht="28.8" x14ac:dyDescent="0.3">
      <c r="A63" s="144" t="s">
        <v>125</v>
      </c>
      <c r="B63" s="146">
        <v>43580</v>
      </c>
      <c r="C63" s="144" t="s">
        <v>200</v>
      </c>
      <c r="D63" s="144" t="s">
        <v>218</v>
      </c>
      <c r="E63" s="144" t="s">
        <v>219</v>
      </c>
      <c r="F63" s="144" t="s">
        <v>220</v>
      </c>
      <c r="G63" s="144"/>
      <c r="H63" s="144"/>
      <c r="I63" s="147"/>
    </row>
    <row r="64" spans="1:10" x14ac:dyDescent="0.3">
      <c r="A64" s="153">
        <v>3</v>
      </c>
      <c r="B64" s="153">
        <v>323.7</v>
      </c>
      <c r="C64" s="154">
        <v>14.9</v>
      </c>
      <c r="D64" s="153" t="s">
        <v>221</v>
      </c>
      <c r="E64" s="134" t="s">
        <v>222</v>
      </c>
      <c r="F64" s="153" t="s">
        <v>223</v>
      </c>
      <c r="G64" s="153"/>
      <c r="H64" s="153"/>
      <c r="I64" s="134"/>
    </row>
    <row r="65" spans="1:9" x14ac:dyDescent="0.3">
      <c r="A65" s="153">
        <v>1</v>
      </c>
      <c r="B65" s="153">
        <v>489.09999999999997</v>
      </c>
      <c r="C65" s="154">
        <v>31.4</v>
      </c>
      <c r="D65" s="153">
        <f>B65-364.1 +332.1</f>
        <v>457.09999999999997</v>
      </c>
      <c r="E65" s="134" t="s">
        <v>224</v>
      </c>
      <c r="F65" s="153"/>
      <c r="G65" s="153"/>
      <c r="H65" s="153"/>
      <c r="I65" s="134"/>
    </row>
    <row r="66" spans="1:9" x14ac:dyDescent="0.3">
      <c r="A66" s="153">
        <v>0</v>
      </c>
      <c r="B66" s="153">
        <v>813</v>
      </c>
      <c r="C66" s="154">
        <v>24.6</v>
      </c>
      <c r="D66" s="153" t="s">
        <v>221</v>
      </c>
      <c r="E66" s="134" t="s">
        <v>225</v>
      </c>
      <c r="F66" s="153" t="s">
        <v>226</v>
      </c>
      <c r="G66" s="153"/>
      <c r="H66" s="153"/>
      <c r="I66" s="134"/>
    </row>
    <row r="67" spans="1:9" x14ac:dyDescent="0.3">
      <c r="A67" s="153">
        <v>2</v>
      </c>
      <c r="B67" s="153">
        <v>417</v>
      </c>
      <c r="C67" s="154">
        <v>38</v>
      </c>
      <c r="D67" s="153">
        <f>B67-270.7+218.5</f>
        <v>364.8</v>
      </c>
      <c r="E67" s="134" t="s">
        <v>227</v>
      </c>
      <c r="F67" s="153"/>
      <c r="G67" s="153"/>
      <c r="H67" s="153"/>
      <c r="I67" s="134"/>
    </row>
    <row r="68" spans="1:9" x14ac:dyDescent="0.3">
      <c r="A68" s="153">
        <v>4</v>
      </c>
      <c r="B68" s="153">
        <v>417</v>
      </c>
      <c r="C68" s="154">
        <v>17</v>
      </c>
      <c r="D68" s="153">
        <f>B68-50.4+32.6</f>
        <v>399.20000000000005</v>
      </c>
      <c r="E68" s="134" t="s">
        <v>228</v>
      </c>
      <c r="F68" s="153" t="s">
        <v>229</v>
      </c>
      <c r="G68" s="153"/>
      <c r="H68" s="153"/>
      <c r="I68" s="134"/>
    </row>
    <row r="69" spans="1:9" x14ac:dyDescent="0.3">
      <c r="A69" s="153" t="s">
        <v>216</v>
      </c>
      <c r="B69" s="153">
        <f>SUM(B64:B68)</f>
        <v>2459.8000000000002</v>
      </c>
      <c r="C69" s="153"/>
      <c r="D69" s="153"/>
      <c r="E69" s="153"/>
      <c r="F69" s="153"/>
      <c r="G69" s="153"/>
      <c r="H69" s="153"/>
      <c r="I69" s="134"/>
    </row>
  </sheetData>
  <mergeCells count="12">
    <mergeCell ref="A61:I61"/>
    <mergeCell ref="B62:D62"/>
    <mergeCell ref="N33:Q33"/>
    <mergeCell ref="R33:U33"/>
    <mergeCell ref="B51:D51"/>
    <mergeCell ref="J33:M33"/>
    <mergeCell ref="A50:I50"/>
    <mergeCell ref="B5:C5"/>
    <mergeCell ref="B14:C14"/>
    <mergeCell ref="J14:M14"/>
    <mergeCell ref="B23:C23"/>
    <mergeCell ref="B32:C3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Readings</vt:lpstr>
      <vt:lpstr>rawdata_for_matlab</vt:lpstr>
      <vt:lpstr>Scales</vt:lpstr>
      <vt:lpstr>trackchanges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Bilal Sharqi</dc:creator>
  <cp:keywords/>
  <dc:description/>
  <cp:lastModifiedBy>Bilal Sharqi</cp:lastModifiedBy>
  <cp:revision/>
  <dcterms:created xsi:type="dcterms:W3CDTF">2019-04-01T18:46:24Z</dcterms:created>
  <dcterms:modified xsi:type="dcterms:W3CDTF">2020-02-21T23:58:53Z</dcterms:modified>
  <cp:category/>
  <cp:contentStatus/>
</cp:coreProperties>
</file>