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1ffde75f42bc1/Michigan/Work/2022/Fall 2022/X-HALE_GVT_VFA/Mass and CG 2023/"/>
    </mc:Choice>
  </mc:AlternateContent>
  <xr:revisionPtr revIDLastSave="75" documentId="11_C4ECB239AA95311F2996376F167DA641B52F47FB" xr6:coauthVersionLast="47" xr6:coauthVersionMax="47" xr10:uidLastSave="{D5FC2AC9-6815-4D15-A259-584A0A570D45}"/>
  <bookViews>
    <workbookView xWindow="-105" yWindow="0" windowWidth="14610" windowHeight="17385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D5" i="2"/>
  <c r="F15" i="2"/>
  <c r="B9" i="2"/>
  <c r="F5" i="2"/>
  <c r="E9" i="2"/>
  <c r="E62" i="2"/>
  <c r="E51" i="2"/>
  <c r="E44" i="2"/>
  <c r="B58" i="2"/>
  <c r="B19" i="2"/>
  <c r="E27" i="2"/>
  <c r="B37" i="2"/>
  <c r="B27" i="2"/>
  <c r="K14" i="2"/>
  <c r="B39" i="2"/>
  <c r="B4" i="2"/>
  <c r="B5" i="2"/>
  <c r="B94" i="2"/>
  <c r="B73" i="2"/>
  <c r="B55" i="2"/>
  <c r="U22" i="2"/>
  <c r="U23" i="2"/>
  <c r="T22" i="2"/>
  <c r="T23" i="2"/>
  <c r="P22" i="2"/>
  <c r="P23" i="2"/>
  <c r="O21" i="2"/>
  <c r="R21" i="2"/>
  <c r="R22" i="2"/>
  <c r="M21" i="2"/>
  <c r="M26" i="2"/>
  <c r="F89" i="2"/>
  <c r="G89" i="2"/>
  <c r="H89" i="2"/>
  <c r="F88" i="2"/>
  <c r="G88" i="2"/>
  <c r="H88" i="2"/>
  <c r="F87" i="2"/>
  <c r="G87" i="2"/>
  <c r="H87" i="2"/>
  <c r="E86" i="2"/>
  <c r="F86" i="2"/>
  <c r="G86" i="2"/>
  <c r="H86" i="2"/>
  <c r="E85" i="2"/>
  <c r="F85" i="2"/>
  <c r="G85" i="2"/>
  <c r="H85" i="2"/>
  <c r="F84" i="2"/>
  <c r="G84" i="2"/>
  <c r="H84" i="2"/>
  <c r="F83" i="2"/>
  <c r="G83" i="2"/>
  <c r="H83" i="2"/>
  <c r="F82" i="2"/>
  <c r="F68" i="2"/>
  <c r="G68" i="2"/>
  <c r="H68" i="2"/>
  <c r="E67" i="2"/>
  <c r="E66" i="2"/>
  <c r="F66" i="2"/>
  <c r="G66" i="2"/>
  <c r="H66" i="2"/>
  <c r="F65" i="2"/>
  <c r="G65" i="2"/>
  <c r="H65" i="2"/>
  <c r="F64" i="2"/>
  <c r="G64" i="2"/>
  <c r="H64" i="2"/>
  <c r="F63" i="2"/>
  <c r="G63" i="2"/>
  <c r="F50" i="2"/>
  <c r="G50" i="2"/>
  <c r="H50" i="2"/>
  <c r="E49" i="2"/>
  <c r="F49" i="2"/>
  <c r="G49" i="2"/>
  <c r="H49" i="2"/>
  <c r="E48" i="2"/>
  <c r="F47" i="2"/>
  <c r="G47" i="2"/>
  <c r="H47" i="2"/>
  <c r="F46" i="2"/>
  <c r="G46" i="2"/>
  <c r="H46" i="2"/>
  <c r="F45" i="2"/>
  <c r="E32" i="2"/>
  <c r="F32" i="2"/>
  <c r="G32" i="2"/>
  <c r="H32" i="2"/>
  <c r="F31" i="2"/>
  <c r="G31" i="2"/>
  <c r="H31" i="2"/>
  <c r="F30" i="2"/>
  <c r="G30" i="2"/>
  <c r="H30" i="2"/>
  <c r="F29" i="2"/>
  <c r="G29" i="2"/>
  <c r="H29" i="2"/>
  <c r="F28" i="2"/>
  <c r="E14" i="2"/>
  <c r="F14" i="2"/>
  <c r="G14" i="2"/>
  <c r="H14" i="2"/>
  <c r="F13" i="2"/>
  <c r="G13" i="2"/>
  <c r="H13" i="2"/>
  <c r="F12" i="2"/>
  <c r="G12" i="2"/>
  <c r="H12" i="2"/>
  <c r="F11" i="2"/>
  <c r="G11" i="2"/>
  <c r="H11" i="2"/>
  <c r="F10" i="2"/>
  <c r="E90" i="2"/>
  <c r="E81" i="2"/>
  <c r="B96" i="2"/>
  <c r="B97" i="2"/>
  <c r="E15" i="2"/>
  <c r="B22" i="2"/>
  <c r="B57" i="2"/>
  <c r="E69" i="2"/>
  <c r="N21" i="2"/>
  <c r="N22" i="2"/>
  <c r="O26" i="2"/>
  <c r="O22" i="2"/>
  <c r="O23" i="2"/>
  <c r="F67" i="2"/>
  <c r="G67" i="2"/>
  <c r="H67" i="2"/>
  <c r="E33" i="2"/>
  <c r="M22" i="2"/>
  <c r="M23" i="2"/>
  <c r="F48" i="2"/>
  <c r="G48" i="2"/>
  <c r="H48" i="2"/>
  <c r="F51" i="2"/>
  <c r="B44" i="2"/>
  <c r="F90" i="2"/>
  <c r="B81" i="2"/>
  <c r="F33" i="2"/>
  <c r="H63" i="2"/>
  <c r="G69" i="2"/>
  <c r="G10" i="2"/>
  <c r="G28" i="2"/>
  <c r="G45" i="2"/>
  <c r="F69" i="2"/>
  <c r="B62" i="2"/>
  <c r="G82" i="2"/>
  <c r="E78" i="1"/>
  <c r="E79" i="1"/>
  <c r="E83" i="1"/>
  <c r="E74" i="1"/>
  <c r="F57" i="1"/>
  <c r="F58" i="1"/>
  <c r="F59" i="1"/>
  <c r="E60" i="1"/>
  <c r="F60" i="1"/>
  <c r="E61" i="1"/>
  <c r="F61" i="1"/>
  <c r="F62" i="1"/>
  <c r="F63" i="1"/>
  <c r="E63" i="1"/>
  <c r="E56" i="1"/>
  <c r="B56" i="1"/>
  <c r="F75" i="1"/>
  <c r="F76" i="1"/>
  <c r="F77" i="1"/>
  <c r="F78" i="1"/>
  <c r="F79" i="1"/>
  <c r="F80" i="1"/>
  <c r="F81" i="1"/>
  <c r="F82" i="1"/>
  <c r="F83" i="1"/>
  <c r="B74" i="1"/>
  <c r="B68" i="1"/>
  <c r="E43" i="1"/>
  <c r="E44" i="1"/>
  <c r="E46" i="1"/>
  <c r="E39" i="1"/>
  <c r="B51" i="1"/>
  <c r="E28" i="1"/>
  <c r="E29" i="1"/>
  <c r="E23" i="1"/>
  <c r="B34" i="1"/>
  <c r="E11" i="1"/>
  <c r="E12" i="1"/>
  <c r="E6" i="1"/>
  <c r="B17" i="1"/>
  <c r="B89" i="1"/>
  <c r="B90" i="1"/>
  <c r="F7" i="1"/>
  <c r="F8" i="1"/>
  <c r="F9" i="1"/>
  <c r="F10" i="1"/>
  <c r="F11" i="1"/>
  <c r="F12" i="1"/>
  <c r="B6" i="1"/>
  <c r="B40" i="2"/>
  <c r="B75" i="2"/>
  <c r="B76" i="2"/>
  <c r="B21" i="2"/>
  <c r="H69" i="2"/>
  <c r="H45" i="2"/>
  <c r="H51" i="2"/>
  <c r="G51" i="2"/>
  <c r="H10" i="2"/>
  <c r="H15" i="2"/>
  <c r="G15" i="2"/>
  <c r="H28" i="2"/>
  <c r="H33" i="2"/>
  <c r="G33" i="2"/>
  <c r="G90" i="2"/>
  <c r="H82" i="2"/>
  <c r="H90" i="2"/>
  <c r="B52" i="1"/>
  <c r="F40" i="1"/>
  <c r="F41" i="1"/>
  <c r="F42" i="1"/>
  <c r="F43" i="1"/>
  <c r="F44" i="1"/>
  <c r="F45" i="1"/>
  <c r="F46" i="1"/>
  <c r="B39" i="1"/>
  <c r="G45" i="1"/>
  <c r="H45" i="1"/>
  <c r="G62" i="1"/>
  <c r="H62" i="1"/>
  <c r="G80" i="1"/>
  <c r="H80" i="1"/>
  <c r="G81" i="1"/>
  <c r="H81" i="1"/>
  <c r="G82" i="1"/>
  <c r="H82" i="1"/>
  <c r="G77" i="1"/>
  <c r="H77" i="1"/>
  <c r="G76" i="1"/>
  <c r="H76" i="1"/>
  <c r="G75" i="1"/>
  <c r="G61" i="1"/>
  <c r="H61" i="1"/>
  <c r="G60" i="1"/>
  <c r="H60" i="1"/>
  <c r="G59" i="1"/>
  <c r="H59" i="1"/>
  <c r="G58" i="1"/>
  <c r="H58" i="1"/>
  <c r="G44" i="1"/>
  <c r="H44" i="1"/>
  <c r="G42" i="1"/>
  <c r="H42" i="1"/>
  <c r="G41" i="1"/>
  <c r="H41" i="1"/>
  <c r="G40" i="1"/>
  <c r="F27" i="1"/>
  <c r="G27" i="1"/>
  <c r="H27" i="1"/>
  <c r="F26" i="1"/>
  <c r="G26" i="1"/>
  <c r="H26" i="1"/>
  <c r="F25" i="1"/>
  <c r="G25" i="1"/>
  <c r="H25" i="1"/>
  <c r="F24" i="1"/>
  <c r="G24" i="1"/>
  <c r="G8" i="1"/>
  <c r="H8" i="1"/>
  <c r="G10" i="1"/>
  <c r="H10" i="1"/>
  <c r="G7" i="1"/>
  <c r="H7" i="1"/>
  <c r="G11" i="1"/>
  <c r="H11" i="1"/>
  <c r="G78" i="1"/>
  <c r="H78" i="1"/>
  <c r="G79" i="1"/>
  <c r="H79" i="1"/>
  <c r="H75" i="1"/>
  <c r="G57" i="1"/>
  <c r="G43" i="1"/>
  <c r="H43" i="1"/>
  <c r="H40" i="1"/>
  <c r="G9" i="1"/>
  <c r="F28" i="1"/>
  <c r="G28" i="1"/>
  <c r="H28" i="1"/>
  <c r="H24" i="1"/>
  <c r="F29" i="1"/>
  <c r="B23" i="1"/>
  <c r="B88" i="1"/>
  <c r="B35" i="1"/>
  <c r="B18" i="1"/>
  <c r="G83" i="1"/>
  <c r="H83" i="1"/>
  <c r="G63" i="1"/>
  <c r="H57" i="1"/>
  <c r="H63" i="1"/>
  <c r="G46" i="1"/>
  <c r="H46" i="1"/>
  <c r="H9" i="1"/>
  <c r="H12" i="1"/>
  <c r="G12" i="1"/>
  <c r="H29" i="1"/>
  <c r="G29" i="1"/>
  <c r="B69" i="1"/>
</calcChain>
</file>

<file path=xl/sharedStrings.xml><?xml version="1.0" encoding="utf-8"?>
<sst xmlns="http://schemas.openxmlformats.org/spreadsheetml/2006/main" count="298" uniqueCount="78">
  <si>
    <t>x</t>
  </si>
  <si>
    <t>y</t>
  </si>
  <si>
    <t>z</t>
  </si>
  <si>
    <t>mass</t>
  </si>
  <si>
    <t>boom</t>
  </si>
  <si>
    <t>wing R3</t>
  </si>
  <si>
    <t>wing 0.5*R2</t>
  </si>
  <si>
    <t>tail 4 R</t>
  </si>
  <si>
    <t>tail 4 L</t>
  </si>
  <si>
    <t>?</t>
  </si>
  <si>
    <t>mass * x</t>
  </si>
  <si>
    <t>mass * z</t>
  </si>
  <si>
    <t>mass * y</t>
  </si>
  <si>
    <t>spine3</t>
  </si>
  <si>
    <t>tail 3 L</t>
  </si>
  <si>
    <t>wing L3</t>
  </si>
  <si>
    <t>wing 0.5*L2</t>
  </si>
  <si>
    <t>spine2</t>
  </si>
  <si>
    <t>tail 2 L</t>
  </si>
  <si>
    <t>tail 2R</t>
  </si>
  <si>
    <t>Fin</t>
  </si>
  <si>
    <t>spine1</t>
  </si>
  <si>
    <t>tail 1 L</t>
  </si>
  <si>
    <t>tail 1R</t>
  </si>
  <si>
    <t>wing 0*5 l1</t>
  </si>
  <si>
    <t>spine 0</t>
  </si>
  <si>
    <t>wing 0.5*r1</t>
  </si>
  <si>
    <t>Total without spine</t>
  </si>
  <si>
    <t>Total experimetal mass</t>
  </si>
  <si>
    <t>Spine mass in nastran</t>
  </si>
  <si>
    <t>wing 0.5*R1</t>
  </si>
  <si>
    <t>Spines mass and center of gravity calculations</t>
  </si>
  <si>
    <t>For Spine 4:</t>
  </si>
  <si>
    <t>spine 4</t>
  </si>
  <si>
    <t>tail 3 R</t>
  </si>
  <si>
    <t>boom 4</t>
  </si>
  <si>
    <t>boom 0</t>
  </si>
  <si>
    <t>fin 0</t>
  </si>
  <si>
    <t>camera1</t>
  </si>
  <si>
    <t>camera 2</t>
  </si>
  <si>
    <t>don't know before calculations</t>
  </si>
  <si>
    <t>For Spine 3:</t>
  </si>
  <si>
    <t>For Spine 0:</t>
  </si>
  <si>
    <t>For Spine 1:</t>
  </si>
  <si>
    <t>For Spine 2:</t>
  </si>
  <si>
    <t>Mass difference for spine 4</t>
  </si>
  <si>
    <t>New mass in Nastran</t>
  </si>
  <si>
    <t>Mass difference for spine 0</t>
  </si>
  <si>
    <t>Mass difference for spine 2</t>
  </si>
  <si>
    <t>Mass difference for spine 1</t>
  </si>
  <si>
    <t>Mass difference for spine 3</t>
  </si>
  <si>
    <t>Total mass difference for spine 1 to 4</t>
  </si>
  <si>
    <t>Experimental cg</t>
  </si>
  <si>
    <t>v</t>
  </si>
  <si>
    <t>RA</t>
  </si>
  <si>
    <t>Mass</t>
  </si>
  <si>
    <t>% LE</t>
  </si>
  <si>
    <t>markus</t>
  </si>
  <si>
    <t>shugo</t>
  </si>
  <si>
    <t>updated</t>
  </si>
  <si>
    <t>accel</t>
  </si>
  <si>
    <t>no accel</t>
  </si>
  <si>
    <t>Experimental cg % from LE</t>
  </si>
  <si>
    <t xml:space="preserve">Experimental cg x </t>
  </si>
  <si>
    <t>x cg position</t>
  </si>
  <si>
    <t>cm</t>
  </si>
  <si>
    <t>cg position from LE</t>
  </si>
  <si>
    <t xml:space="preserve">Expected </t>
  </si>
  <si>
    <t xml:space="preserve">With RA at </t>
  </si>
  <si>
    <t>Bilal - 1/31/23</t>
  </si>
  <si>
    <t>Add mass of new motor and prop</t>
  </si>
  <si>
    <t>ART 1200</t>
  </si>
  <si>
    <t>g</t>
  </si>
  <si>
    <t>Cobra 2820</t>
  </si>
  <si>
    <t>APC 2-bladed</t>
  </si>
  <si>
    <t>MA 3-bladed</t>
  </si>
  <si>
    <t xml:space="preserve">g </t>
  </si>
  <si>
    <t>Net change each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</si>
</sst>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164" fontId="0" fillId="2" borderId="8" xfId="0" applyNumberFormat="1" applyFill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2" borderId="0" xfId="0" applyFill="1"/>
    <xf numFmtId="164" fontId="0" fillId="0" borderId="6" xfId="0" applyNumberFormat="1" applyBorder="1"/>
    <xf numFmtId="0" fontId="1" fillId="0" borderId="1" xfId="0" applyFont="1" applyBorder="1"/>
    <xf numFmtId="164" fontId="0" fillId="3" borderId="8" xfId="0" applyNumberFormat="1" applyFill="1" applyBorder="1"/>
    <xf numFmtId="164" fontId="0" fillId="3" borderId="12" xfId="0" applyNumberFormat="1" applyFill="1" applyBorder="1"/>
    <xf numFmtId="0" fontId="0" fillId="3" borderId="0" xfId="0" applyFill="1"/>
    <xf numFmtId="9" fontId="0" fillId="0" borderId="0" xfId="1" applyFont="1"/>
    <xf numFmtId="164" fontId="0" fillId="2" borderId="12" xfId="0" applyNumberFormat="1" applyFill="1" applyBorder="1"/>
    <xf numFmtId="9" fontId="0" fillId="0" borderId="8" xfId="1" applyFont="1" applyBorder="1"/>
    <xf numFmtId="165" fontId="0" fillId="0" borderId="8" xfId="1" applyNumberFormat="1" applyFont="1" applyBorder="1"/>
    <xf numFmtId="2" fontId="0" fillId="2" borderId="8" xfId="0" applyNumberFormat="1" applyFill="1" applyBorder="1"/>
    <xf numFmtId="166" fontId="0" fillId="2" borderId="8" xfId="0" applyNumberFormat="1" applyFill="1" applyBorder="1"/>
    <xf numFmtId="0" fontId="2" fillId="0" borderId="0" xfId="0" applyFont="1" applyAlignment="1">
      <alignment horizontal="left"/>
    </xf>
    <xf numFmtId="167" fontId="0" fillId="0" borderId="8" xfId="0" applyNumberFormat="1" applyBorder="1"/>
    <xf numFmtId="166" fontId="0" fillId="0" borderId="8" xfId="0" applyNumberFormat="1" applyBorder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164" fontId="0" fillId="2" borderId="0" xfId="0" applyNumberFormat="1" applyFill="1"/>
    <xf numFmtId="165" fontId="0" fillId="2" borderId="0" xfId="1" applyNumberFormat="1" applyFont="1" applyFill="1" applyAlignment="1">
      <alignment horizontal="center"/>
    </xf>
    <xf numFmtId="0" fontId="0" fillId="4" borderId="8" xfId="0" applyFill="1" applyBorder="1"/>
    <xf numFmtId="164" fontId="0" fillId="4" borderId="0" xfId="0" applyNumberFormat="1" applyFill="1"/>
    <xf numFmtId="0" fontId="0" fillId="4" borderId="0" xfId="0" applyFill="1"/>
    <xf numFmtId="164" fontId="4" fillId="0" borderId="0" xfId="0" applyNumberFormat="1" applyFont="1"/>
    <xf numFmtId="0" fontId="2" fillId="0" borderId="0" xfId="0" applyFont="1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>
      <selection activeCell="B52" sqref="B52"/>
    </sheetView>
  </sheetViews>
  <sheetFormatPr defaultRowHeight="14.5" x14ac:dyDescent="0.35"/>
  <cols>
    <col min="1" max="1" width="32" bestFit="1" customWidth="1"/>
    <col min="2" max="2" width="10" bestFit="1" customWidth="1"/>
    <col min="4" max="4" width="10" bestFit="1" customWidth="1"/>
    <col min="5" max="5" width="12.1796875" customWidth="1"/>
    <col min="6" max="6" width="11" bestFit="1" customWidth="1"/>
    <col min="8" max="8" width="12" customWidth="1"/>
    <col min="9" max="9" width="18.81640625" bestFit="1" customWidth="1"/>
    <col min="10" max="10" width="28.7265625" bestFit="1" customWidth="1"/>
    <col min="11" max="11" width="8.7265625" bestFit="1" customWidth="1"/>
  </cols>
  <sheetData>
    <row r="1" spans="1:11" ht="15.5" x14ac:dyDescent="0.35">
      <c r="A1" s="40" t="s">
        <v>31</v>
      </c>
      <c r="B1" s="40"/>
      <c r="C1" s="40"/>
      <c r="F1" s="21"/>
      <c r="G1" s="16"/>
      <c r="H1" t="s">
        <v>40</v>
      </c>
    </row>
    <row r="3" spans="1:11" ht="15" thickBot="1" x14ac:dyDescent="0.4"/>
    <row r="4" spans="1:11" x14ac:dyDescent="0.35">
      <c r="A4" s="18" t="s">
        <v>32</v>
      </c>
      <c r="B4" s="2"/>
      <c r="C4" s="2"/>
      <c r="D4" s="2"/>
      <c r="E4" s="2"/>
      <c r="F4" s="2"/>
      <c r="G4" s="2"/>
      <c r="H4" s="3"/>
    </row>
    <row r="5" spans="1:11" x14ac:dyDescent="0.35">
      <c r="A5" s="12"/>
      <c r="B5" s="8" t="s">
        <v>0</v>
      </c>
      <c r="C5" s="8" t="s">
        <v>1</v>
      </c>
      <c r="D5" s="8" t="s">
        <v>2</v>
      </c>
      <c r="E5" s="8" t="s">
        <v>3</v>
      </c>
      <c r="F5" s="8" t="s">
        <v>10</v>
      </c>
      <c r="G5" s="8" t="s">
        <v>12</v>
      </c>
      <c r="H5" s="13" t="s">
        <v>11</v>
      </c>
    </row>
    <row r="6" spans="1:11" x14ac:dyDescent="0.35">
      <c r="A6" s="12" t="s">
        <v>33</v>
      </c>
      <c r="B6" s="9">
        <f>(B14*B15-F12)/E6</f>
        <v>-3.1096619752590877E-2</v>
      </c>
      <c r="C6" s="8" t="s">
        <v>9</v>
      </c>
      <c r="D6" s="8" t="s">
        <v>9</v>
      </c>
      <c r="E6" s="10">
        <f>(B14-E12)</f>
        <v>1.3701999999999996</v>
      </c>
      <c r="F6" s="8" t="s">
        <v>9</v>
      </c>
      <c r="G6" s="8" t="s">
        <v>9</v>
      </c>
      <c r="H6" s="13" t="s">
        <v>9</v>
      </c>
    </row>
    <row r="7" spans="1:11" x14ac:dyDescent="0.35">
      <c r="A7" s="12" t="s">
        <v>8</v>
      </c>
      <c r="B7" s="8">
        <v>0.67162500000000003</v>
      </c>
      <c r="C7" s="8">
        <v>1.88</v>
      </c>
      <c r="D7" s="8">
        <v>0</v>
      </c>
      <c r="E7" s="11">
        <v>7.0157499999999998E-2</v>
      </c>
      <c r="F7" s="8">
        <f t="shared" ref="F7" si="0">E7*B7</f>
        <v>4.7119530937500001E-2</v>
      </c>
      <c r="G7" s="8">
        <f t="shared" ref="G7" si="1">F7*C7</f>
        <v>8.8584718162499992E-2</v>
      </c>
      <c r="H7" s="13">
        <f t="shared" ref="H7" si="2">G7*D7</f>
        <v>0</v>
      </c>
      <c r="K7" s="1"/>
    </row>
    <row r="8" spans="1:11" x14ac:dyDescent="0.35">
      <c r="A8" s="12" t="s">
        <v>7</v>
      </c>
      <c r="B8" s="8">
        <v>0.67162500000000003</v>
      </c>
      <c r="C8" s="8">
        <v>2.11999</v>
      </c>
      <c r="D8" s="8">
        <v>0</v>
      </c>
      <c r="E8" s="11">
        <v>7.0157499999999998E-2</v>
      </c>
      <c r="F8" s="8">
        <f t="shared" ref="F8:F11" si="3">E8*B8</f>
        <v>4.7119530937500001E-2</v>
      </c>
      <c r="G8" s="8">
        <f t="shared" ref="G8:G11" si="4">F8*C8</f>
        <v>9.989293439219063E-2</v>
      </c>
      <c r="H8" s="13">
        <f t="shared" ref="H8:H11" si="5">G8*D8</f>
        <v>0</v>
      </c>
      <c r="J8" s="1"/>
    </row>
    <row r="9" spans="1:11" x14ac:dyDescent="0.35">
      <c r="A9" s="12" t="s">
        <v>35</v>
      </c>
      <c r="B9" s="8">
        <v>0.26600000000000001</v>
      </c>
      <c r="C9" s="8">
        <v>2</v>
      </c>
      <c r="D9" s="8">
        <v>0</v>
      </c>
      <c r="E9" s="11">
        <v>2.7885E-2</v>
      </c>
      <c r="F9" s="8">
        <f t="shared" si="3"/>
        <v>7.4174100000000001E-3</v>
      </c>
      <c r="G9" s="8">
        <f t="shared" si="4"/>
        <v>1.483482E-2</v>
      </c>
      <c r="H9" s="13">
        <f t="shared" si="5"/>
        <v>0</v>
      </c>
    </row>
    <row r="10" spans="1:11" x14ac:dyDescent="0.35">
      <c r="A10" s="12" t="s">
        <v>5</v>
      </c>
      <c r="B10" s="8">
        <v>2.4999000000000002E-3</v>
      </c>
      <c r="C10" s="8">
        <v>2.492</v>
      </c>
      <c r="D10" s="8">
        <v>3.4729900000000001E-2</v>
      </c>
      <c r="E10" s="11">
        <v>0.4446</v>
      </c>
      <c r="F10" s="8">
        <f t="shared" si="3"/>
        <v>1.1114555400000001E-3</v>
      </c>
      <c r="G10" s="8">
        <f t="shared" si="4"/>
        <v>2.7697472056800003E-3</v>
      </c>
      <c r="H10" s="13">
        <f t="shared" si="5"/>
        <v>9.6193043478545842E-5</v>
      </c>
    </row>
    <row r="11" spans="1:11" x14ac:dyDescent="0.35">
      <c r="A11" s="12" t="s">
        <v>6</v>
      </c>
      <c r="B11" s="8">
        <v>2.4999000000000002E-3</v>
      </c>
      <c r="C11" s="8">
        <v>1.75</v>
      </c>
      <c r="D11" s="8">
        <v>0</v>
      </c>
      <c r="E11" s="11">
        <f>0.5*0.3806</f>
        <v>0.1903</v>
      </c>
      <c r="F11" s="8">
        <f t="shared" si="3"/>
        <v>4.7573097000000003E-4</v>
      </c>
      <c r="G11" s="8">
        <f t="shared" si="4"/>
        <v>8.3252919750000001E-4</v>
      </c>
      <c r="H11" s="13">
        <f t="shared" si="5"/>
        <v>0</v>
      </c>
    </row>
    <row r="12" spans="1:11" x14ac:dyDescent="0.35">
      <c r="A12" s="12" t="s">
        <v>27</v>
      </c>
      <c r="B12" s="8"/>
      <c r="C12" s="8"/>
      <c r="D12" s="8"/>
      <c r="E12" s="11">
        <f>SUM(E7:E11)</f>
        <v>0.80310000000000004</v>
      </c>
      <c r="F12" s="11">
        <f>SUM(F7:F11)</f>
        <v>0.10324365838500001</v>
      </c>
      <c r="G12" s="11">
        <f>SUM(G7:G11)</f>
        <v>0.2069147489578706</v>
      </c>
      <c r="H12" s="14">
        <f>SUM(H7:H11)</f>
        <v>9.6193043478545842E-5</v>
      </c>
    </row>
    <row r="13" spans="1:11" x14ac:dyDescent="0.35">
      <c r="A13" s="4"/>
      <c r="H13" s="5"/>
    </row>
    <row r="14" spans="1:11" x14ac:dyDescent="0.35">
      <c r="A14" s="12" t="s">
        <v>28</v>
      </c>
      <c r="B14" s="8">
        <v>2.1732999999999998</v>
      </c>
      <c r="H14" s="5"/>
    </row>
    <row r="15" spans="1:11" x14ac:dyDescent="0.35">
      <c r="A15" s="12" t="s">
        <v>52</v>
      </c>
      <c r="B15" s="8">
        <v>2.7900000000000001E-2</v>
      </c>
      <c r="H15" s="5"/>
    </row>
    <row r="16" spans="1:11" x14ac:dyDescent="0.35">
      <c r="A16" s="12" t="s">
        <v>29</v>
      </c>
      <c r="B16" s="8">
        <v>1.3192999999999999</v>
      </c>
      <c r="D16" t="s">
        <v>53</v>
      </c>
      <c r="H16" s="5"/>
    </row>
    <row r="17" spans="1:11" x14ac:dyDescent="0.35">
      <c r="A17" s="12" t="s">
        <v>45</v>
      </c>
      <c r="B17" s="19">
        <f>E6-B16</f>
        <v>5.0899999999999723E-2</v>
      </c>
      <c r="H17" s="5"/>
    </row>
    <row r="18" spans="1:11" ht="15" thickBot="1" x14ac:dyDescent="0.4">
      <c r="A18" s="15" t="s">
        <v>46</v>
      </c>
      <c r="B18" s="20">
        <f>E6</f>
        <v>1.3701999999999996</v>
      </c>
      <c r="C18" s="6"/>
      <c r="D18" s="6"/>
      <c r="E18" s="6"/>
      <c r="F18" s="6"/>
      <c r="G18" s="6"/>
      <c r="H18" s="7"/>
    </row>
    <row r="20" spans="1:11" ht="15" thickBot="1" x14ac:dyDescent="0.4"/>
    <row r="21" spans="1:11" x14ac:dyDescent="0.35">
      <c r="A21" s="18" t="s">
        <v>41</v>
      </c>
      <c r="B21" s="2"/>
      <c r="C21" s="2"/>
      <c r="D21" s="2"/>
      <c r="E21" s="2"/>
      <c r="F21" s="2"/>
      <c r="G21" s="2"/>
      <c r="H21" s="3"/>
    </row>
    <row r="22" spans="1:11" x14ac:dyDescent="0.35">
      <c r="A22" s="12"/>
      <c r="B22" s="8" t="s">
        <v>0</v>
      </c>
      <c r="C22" s="8" t="s">
        <v>1</v>
      </c>
      <c r="D22" s="8" t="s">
        <v>2</v>
      </c>
      <c r="E22" s="8" t="s">
        <v>3</v>
      </c>
      <c r="F22" s="8" t="s">
        <v>10</v>
      </c>
      <c r="G22" s="8" t="s">
        <v>12</v>
      </c>
      <c r="H22" s="13" t="s">
        <v>11</v>
      </c>
    </row>
    <row r="23" spans="1:11" x14ac:dyDescent="0.35">
      <c r="A23" s="12" t="s">
        <v>13</v>
      </c>
      <c r="B23" s="9">
        <f>(B31*0.0281-F29)/E23</f>
        <v>-3.3388587542566774E-2</v>
      </c>
      <c r="C23" s="8" t="s">
        <v>9</v>
      </c>
      <c r="D23" s="8" t="s">
        <v>9</v>
      </c>
      <c r="E23" s="10">
        <f>(B31-E29)</f>
        <v>1.4227649999999998</v>
      </c>
      <c r="F23" s="8" t="s">
        <v>9</v>
      </c>
      <c r="G23" s="8" t="s">
        <v>9</v>
      </c>
      <c r="H23" s="13" t="s">
        <v>9</v>
      </c>
      <c r="K23" s="1"/>
    </row>
    <row r="24" spans="1:11" x14ac:dyDescent="0.35">
      <c r="A24" s="12" t="s">
        <v>14</v>
      </c>
      <c r="B24" s="8">
        <v>0.67162500000000003</v>
      </c>
      <c r="C24" s="8">
        <v>-1.88</v>
      </c>
      <c r="D24" s="8">
        <v>0</v>
      </c>
      <c r="E24" s="11">
        <v>7.4999999999999997E-2</v>
      </c>
      <c r="F24" s="8">
        <f t="shared" ref="F24:F28" si="6">E24*B24</f>
        <v>5.0371875000000003E-2</v>
      </c>
      <c r="G24" s="8">
        <f t="shared" ref="G24:G28" si="7">F24*C24</f>
        <v>-9.4699124999999995E-2</v>
      </c>
      <c r="H24" s="13">
        <f t="shared" ref="H24:H28" si="8">G24*D24</f>
        <v>0</v>
      </c>
      <c r="J24" s="1"/>
    </row>
    <row r="25" spans="1:11" x14ac:dyDescent="0.35">
      <c r="A25" s="12" t="s">
        <v>34</v>
      </c>
      <c r="B25" s="8">
        <v>0.67162500000000003</v>
      </c>
      <c r="C25" s="8">
        <v>-2.11999</v>
      </c>
      <c r="D25" s="8">
        <v>0</v>
      </c>
      <c r="E25" s="11">
        <v>7.4999999999999997E-2</v>
      </c>
      <c r="F25" s="8">
        <f t="shared" si="6"/>
        <v>5.0371875000000003E-2</v>
      </c>
      <c r="G25" s="8">
        <f t="shared" si="7"/>
        <v>-0.10678787128125002</v>
      </c>
      <c r="H25" s="13">
        <f t="shared" si="8"/>
        <v>0</v>
      </c>
    </row>
    <row r="26" spans="1:11" x14ac:dyDescent="0.35">
      <c r="A26" s="12" t="s">
        <v>35</v>
      </c>
      <c r="B26" s="8">
        <v>0.26600000000000001</v>
      </c>
      <c r="C26" s="8">
        <v>-2</v>
      </c>
      <c r="D26" s="8">
        <v>0</v>
      </c>
      <c r="E26" s="11">
        <v>2.7885E-2</v>
      </c>
      <c r="F26" s="8">
        <f t="shared" si="6"/>
        <v>7.4174100000000001E-3</v>
      </c>
      <c r="G26" s="8">
        <f t="shared" si="7"/>
        <v>-1.483482E-2</v>
      </c>
      <c r="H26" s="13">
        <f t="shared" si="8"/>
        <v>0</v>
      </c>
    </row>
    <row r="27" spans="1:11" x14ac:dyDescent="0.35">
      <c r="A27" s="12" t="s">
        <v>15</v>
      </c>
      <c r="B27" s="8">
        <v>2.4999000000000002E-3</v>
      </c>
      <c r="C27" s="8">
        <v>-2.492</v>
      </c>
      <c r="D27" s="8">
        <v>3.4729900000000001E-2</v>
      </c>
      <c r="E27" s="11">
        <v>0.4219</v>
      </c>
      <c r="F27" s="8">
        <f t="shared" si="6"/>
        <v>1.05470781E-3</v>
      </c>
      <c r="G27" s="8">
        <f t="shared" si="7"/>
        <v>-2.6283318625200001E-3</v>
      </c>
      <c r="H27" s="13">
        <f t="shared" si="8"/>
        <v>-9.128170275213335E-5</v>
      </c>
    </row>
    <row r="28" spans="1:11" x14ac:dyDescent="0.35">
      <c r="A28" s="12" t="s">
        <v>16</v>
      </c>
      <c r="B28" s="8">
        <v>2.4999000000000002E-3</v>
      </c>
      <c r="C28" s="8">
        <v>-1.75</v>
      </c>
      <c r="D28" s="8">
        <v>0</v>
      </c>
      <c r="E28" s="11">
        <f>0.5*0.3811</f>
        <v>0.19055</v>
      </c>
      <c r="F28" s="8">
        <f t="shared" si="6"/>
        <v>4.7635594500000005E-4</v>
      </c>
      <c r="G28" s="8">
        <f t="shared" si="7"/>
        <v>-8.3362290375000008E-4</v>
      </c>
      <c r="H28" s="13">
        <f t="shared" si="8"/>
        <v>0</v>
      </c>
    </row>
    <row r="29" spans="1:11" x14ac:dyDescent="0.35">
      <c r="A29" s="12" t="s">
        <v>27</v>
      </c>
      <c r="B29" s="8"/>
      <c r="C29" s="8"/>
      <c r="D29" s="8"/>
      <c r="E29" s="11">
        <f>SUM(E24:E28)</f>
        <v>0.79033500000000001</v>
      </c>
      <c r="F29" s="11">
        <f>SUM(F24:F28)</f>
        <v>0.10969222375500001</v>
      </c>
      <c r="G29" s="11">
        <f>SUM(G24:G28)</f>
        <v>-0.21978377104752</v>
      </c>
      <c r="H29" s="14">
        <f>SUM(H24:H28)</f>
        <v>-9.128170275213335E-5</v>
      </c>
    </row>
    <row r="30" spans="1:11" x14ac:dyDescent="0.35">
      <c r="A30" s="4"/>
      <c r="H30" s="5"/>
    </row>
    <row r="31" spans="1:11" x14ac:dyDescent="0.35">
      <c r="A31" s="12" t="s">
        <v>28</v>
      </c>
      <c r="B31" s="8">
        <v>2.2130999999999998</v>
      </c>
      <c r="H31" s="5"/>
    </row>
    <row r="32" spans="1:11" x14ac:dyDescent="0.35">
      <c r="A32" s="12" t="s">
        <v>52</v>
      </c>
      <c r="B32" s="8"/>
      <c r="H32" s="5"/>
    </row>
    <row r="33" spans="1:11" x14ac:dyDescent="0.35">
      <c r="A33" s="12" t="s">
        <v>29</v>
      </c>
      <c r="B33" s="8">
        <v>1.3394999999999999</v>
      </c>
      <c r="H33" s="5"/>
    </row>
    <row r="34" spans="1:11" x14ac:dyDescent="0.35">
      <c r="A34" s="12" t="s">
        <v>50</v>
      </c>
      <c r="B34" s="19">
        <f>E23-B33</f>
        <v>8.3264999999999922E-2</v>
      </c>
      <c r="H34" s="5"/>
    </row>
    <row r="35" spans="1:11" ht="15" thickBot="1" x14ac:dyDescent="0.4">
      <c r="A35" s="15" t="s">
        <v>46</v>
      </c>
      <c r="B35" s="20">
        <f>E23</f>
        <v>1.4227649999999998</v>
      </c>
      <c r="C35" s="6"/>
      <c r="D35" s="6"/>
      <c r="E35" s="6"/>
      <c r="F35" s="6"/>
      <c r="G35" s="6"/>
      <c r="H35" s="7"/>
    </row>
    <row r="36" spans="1:11" ht="15" thickBot="1" x14ac:dyDescent="0.4">
      <c r="B36" s="1"/>
    </row>
    <row r="37" spans="1:11" x14ac:dyDescent="0.35">
      <c r="A37" s="18" t="s">
        <v>44</v>
      </c>
      <c r="B37" s="2"/>
      <c r="C37" s="2"/>
      <c r="D37" s="2"/>
      <c r="E37" s="2"/>
      <c r="F37" s="2"/>
      <c r="G37" s="2"/>
      <c r="H37" s="3"/>
    </row>
    <row r="38" spans="1:11" x14ac:dyDescent="0.35">
      <c r="A38" s="12"/>
      <c r="B38" s="8" t="s">
        <v>0</v>
      </c>
      <c r="C38" s="8" t="s">
        <v>1</v>
      </c>
      <c r="D38" s="8" t="s">
        <v>2</v>
      </c>
      <c r="E38" s="8" t="s">
        <v>3</v>
      </c>
      <c r="F38" s="8" t="s">
        <v>10</v>
      </c>
      <c r="G38" s="8" t="s">
        <v>12</v>
      </c>
      <c r="H38" s="13" t="s">
        <v>11</v>
      </c>
    </row>
    <row r="39" spans="1:11" x14ac:dyDescent="0.35">
      <c r="A39" s="12" t="s">
        <v>17</v>
      </c>
      <c r="B39" s="9">
        <f>(B48*0.0293-F46)/E39</f>
        <v>-5.3231803325040052E-2</v>
      </c>
      <c r="C39" s="8" t="s">
        <v>9</v>
      </c>
      <c r="D39" s="8" t="s">
        <v>9</v>
      </c>
      <c r="E39" s="10">
        <f>(B48-E46)</f>
        <v>1.2520150000000001</v>
      </c>
      <c r="F39" s="8" t="s">
        <v>9</v>
      </c>
      <c r="G39" s="8" t="s">
        <v>9</v>
      </c>
      <c r="H39" s="13" t="s">
        <v>9</v>
      </c>
      <c r="K39" s="1"/>
    </row>
    <row r="40" spans="1:11" x14ac:dyDescent="0.35">
      <c r="A40" s="12" t="s">
        <v>18</v>
      </c>
      <c r="B40" s="8">
        <v>0.67162500000000003</v>
      </c>
      <c r="C40" s="8">
        <v>0.88</v>
      </c>
      <c r="D40" s="8">
        <v>0</v>
      </c>
      <c r="E40" s="11">
        <v>7.5700000000000003E-2</v>
      </c>
      <c r="F40" s="8">
        <f t="shared" ref="F40:F45" si="9">E40*B40</f>
        <v>5.0842012500000006E-2</v>
      </c>
      <c r="G40" s="8">
        <f t="shared" ref="G40:G44" si="10">F40*C40</f>
        <v>4.4740971000000004E-2</v>
      </c>
      <c r="H40" s="13">
        <f t="shared" ref="H40:H44" si="11">G40*D40</f>
        <v>0</v>
      </c>
      <c r="J40" s="1"/>
    </row>
    <row r="41" spans="1:11" x14ac:dyDescent="0.35">
      <c r="A41" s="12" t="s">
        <v>19</v>
      </c>
      <c r="B41" s="8">
        <v>0.67162500000000003</v>
      </c>
      <c r="C41" s="8">
        <v>1.11999</v>
      </c>
      <c r="D41" s="8">
        <v>0</v>
      </c>
      <c r="E41" s="11">
        <v>7.5700000000000003E-2</v>
      </c>
      <c r="F41" s="8">
        <f t="shared" si="9"/>
        <v>5.0842012500000006E-2</v>
      </c>
      <c r="G41" s="8">
        <f t="shared" si="10"/>
        <v>5.6942545579875006E-2</v>
      </c>
      <c r="H41" s="13">
        <f t="shared" si="11"/>
        <v>0</v>
      </c>
    </row>
    <row r="42" spans="1:11" x14ac:dyDescent="0.35">
      <c r="A42" s="12" t="s">
        <v>4</v>
      </c>
      <c r="B42" s="8">
        <v>0.26600000000000001</v>
      </c>
      <c r="C42" s="8">
        <v>1</v>
      </c>
      <c r="D42" s="8">
        <v>0</v>
      </c>
      <c r="E42" s="11">
        <v>2.7885E-2</v>
      </c>
      <c r="F42" s="8">
        <f t="shared" si="9"/>
        <v>7.4174100000000001E-3</v>
      </c>
      <c r="G42" s="8">
        <f t="shared" si="10"/>
        <v>7.4174100000000001E-3</v>
      </c>
      <c r="H42" s="13">
        <f t="shared" si="11"/>
        <v>0</v>
      </c>
    </row>
    <row r="43" spans="1:11" x14ac:dyDescent="0.35">
      <c r="A43" s="12" t="s">
        <v>30</v>
      </c>
      <c r="B43" s="8">
        <v>2.4999000000000002E-3</v>
      </c>
      <c r="C43" s="8">
        <v>0.5</v>
      </c>
      <c r="D43" s="8">
        <v>0</v>
      </c>
      <c r="E43" s="11">
        <f>0.3946/2</f>
        <v>0.1973</v>
      </c>
      <c r="F43" s="8">
        <f t="shared" si="9"/>
        <v>4.9323027E-4</v>
      </c>
      <c r="G43" s="8">
        <f t="shared" si="10"/>
        <v>2.46615135E-4</v>
      </c>
      <c r="H43" s="13">
        <f t="shared" si="11"/>
        <v>0</v>
      </c>
    </row>
    <row r="44" spans="1:11" x14ac:dyDescent="0.35">
      <c r="A44" s="12" t="s">
        <v>6</v>
      </c>
      <c r="B44" s="8">
        <v>2.4999000000000002E-3</v>
      </c>
      <c r="C44" s="8">
        <v>1.5</v>
      </c>
      <c r="D44" s="8">
        <v>0</v>
      </c>
      <c r="E44" s="11">
        <f>0.5*0.3806</f>
        <v>0.1903</v>
      </c>
      <c r="F44" s="8">
        <f t="shared" si="9"/>
        <v>4.7573097000000003E-4</v>
      </c>
      <c r="G44" s="8">
        <f t="shared" si="10"/>
        <v>7.1359645500000007E-4</v>
      </c>
      <c r="H44" s="13">
        <f t="shared" si="11"/>
        <v>0</v>
      </c>
    </row>
    <row r="45" spans="1:11" x14ac:dyDescent="0.35">
      <c r="A45" s="12" t="s">
        <v>20</v>
      </c>
      <c r="B45" s="8">
        <v>0.26600000000000001</v>
      </c>
      <c r="C45" s="8">
        <v>1</v>
      </c>
      <c r="D45" s="8">
        <v>-6.5000000000000002E-2</v>
      </c>
      <c r="E45" s="11">
        <v>4.1700000000000001E-2</v>
      </c>
      <c r="F45" s="8">
        <f t="shared" si="9"/>
        <v>1.1092200000000002E-2</v>
      </c>
      <c r="G45" s="8">
        <f t="shared" ref="G45" si="12">F45*C45</f>
        <v>1.1092200000000002E-2</v>
      </c>
      <c r="H45" s="13">
        <f t="shared" ref="H45" si="13">G45*D45</f>
        <v>-7.2099300000000018E-4</v>
      </c>
    </row>
    <row r="46" spans="1:11" x14ac:dyDescent="0.35">
      <c r="A46" s="12" t="s">
        <v>27</v>
      </c>
      <c r="B46" s="8"/>
      <c r="C46" s="8"/>
      <c r="D46" s="8"/>
      <c r="E46" s="11">
        <f>SUM(E40:E45)</f>
        <v>0.60858499999999993</v>
      </c>
      <c r="F46" s="11">
        <f>SUM(F40:F45)</f>
        <v>0.12116259624000002</v>
      </c>
      <c r="G46" s="11">
        <f>SUM(G40:G45)</f>
        <v>0.12115333816987502</v>
      </c>
      <c r="H46" s="14">
        <f>SUM(H40:H45)</f>
        <v>-7.2099300000000018E-4</v>
      </c>
    </row>
    <row r="47" spans="1:11" x14ac:dyDescent="0.35">
      <c r="A47" s="4"/>
      <c r="H47" s="5"/>
    </row>
    <row r="48" spans="1:11" x14ac:dyDescent="0.35">
      <c r="A48" s="12" t="s">
        <v>28</v>
      </c>
      <c r="B48" s="8">
        <v>1.8606</v>
      </c>
      <c r="H48" s="5"/>
    </row>
    <row r="49" spans="1:11" x14ac:dyDescent="0.35">
      <c r="A49" s="12" t="s">
        <v>52</v>
      </c>
      <c r="B49" s="8"/>
      <c r="H49" s="5"/>
    </row>
    <row r="50" spans="1:11" x14ac:dyDescent="0.35">
      <c r="A50" s="12" t="s">
        <v>29</v>
      </c>
      <c r="B50" s="8">
        <v>1.0861000000000001</v>
      </c>
      <c r="H50" s="5"/>
    </row>
    <row r="51" spans="1:11" x14ac:dyDescent="0.35">
      <c r="A51" s="12" t="s">
        <v>48</v>
      </c>
      <c r="B51" s="19">
        <f>E39-B50</f>
        <v>0.16591500000000003</v>
      </c>
      <c r="H51" s="5"/>
    </row>
    <row r="52" spans="1:11" ht="15" thickBot="1" x14ac:dyDescent="0.4">
      <c r="A52" s="15" t="s">
        <v>46</v>
      </c>
      <c r="B52" s="20">
        <f>E39</f>
        <v>1.2520150000000001</v>
      </c>
      <c r="C52" s="6"/>
      <c r="D52" s="6"/>
      <c r="E52" s="6"/>
      <c r="F52" s="6"/>
      <c r="G52" s="6"/>
      <c r="H52" s="7"/>
    </row>
    <row r="53" spans="1:11" ht="15" thickBot="1" x14ac:dyDescent="0.4">
      <c r="B53" s="1"/>
    </row>
    <row r="54" spans="1:11" x14ac:dyDescent="0.35">
      <c r="A54" s="18" t="s">
        <v>43</v>
      </c>
      <c r="B54" s="2"/>
      <c r="C54" s="2"/>
      <c r="D54" s="2"/>
      <c r="E54" s="2"/>
      <c r="F54" s="2"/>
      <c r="G54" s="2"/>
      <c r="H54" s="3"/>
    </row>
    <row r="55" spans="1:11" x14ac:dyDescent="0.35">
      <c r="A55" s="12"/>
      <c r="B55" s="8" t="s">
        <v>0</v>
      </c>
      <c r="C55" s="8" t="s">
        <v>1</v>
      </c>
      <c r="D55" s="8" t="s">
        <v>2</v>
      </c>
      <c r="E55" s="8" t="s">
        <v>3</v>
      </c>
      <c r="F55" s="8" t="s">
        <v>10</v>
      </c>
      <c r="G55" s="8" t="s">
        <v>12</v>
      </c>
      <c r="H55" s="13" t="s">
        <v>11</v>
      </c>
    </row>
    <row r="56" spans="1:11" x14ac:dyDescent="0.35">
      <c r="A56" s="12" t="s">
        <v>21</v>
      </c>
      <c r="B56" s="9">
        <f>(B65*B66-F63)/E56</f>
        <v>-6.4488625837709271E-2</v>
      </c>
      <c r="C56" s="8" t="s">
        <v>9</v>
      </c>
      <c r="D56" s="8" t="s">
        <v>9</v>
      </c>
      <c r="E56" s="10">
        <f>(B65-E63)</f>
        <v>1.2064149999999998</v>
      </c>
      <c r="F56" s="8" t="s">
        <v>9</v>
      </c>
      <c r="G56" s="8" t="s">
        <v>9</v>
      </c>
      <c r="H56" s="13" t="s">
        <v>9</v>
      </c>
      <c r="K56" s="1"/>
    </row>
    <row r="57" spans="1:11" x14ac:dyDescent="0.35">
      <c r="A57" s="12" t="s">
        <v>22</v>
      </c>
      <c r="B57" s="8">
        <v>0.67162500000000003</v>
      </c>
      <c r="C57" s="8">
        <v>-0.88</v>
      </c>
      <c r="D57" s="8">
        <v>0</v>
      </c>
      <c r="E57" s="11">
        <v>7.9500000000000001E-2</v>
      </c>
      <c r="F57" s="8">
        <f t="shared" ref="F57:F61" si="14">E57*B57</f>
        <v>5.3394187500000002E-2</v>
      </c>
      <c r="G57" s="8">
        <f t="shared" ref="G57:G61" si="15">F57*C57</f>
        <v>-4.6986884999999999E-2</v>
      </c>
      <c r="H57" s="13">
        <f t="shared" ref="H57:H61" si="16">G57*D57</f>
        <v>0</v>
      </c>
      <c r="J57" s="1"/>
    </row>
    <row r="58" spans="1:11" x14ac:dyDescent="0.35">
      <c r="A58" s="12" t="s">
        <v>23</v>
      </c>
      <c r="B58" s="8">
        <v>0.67162500000000003</v>
      </c>
      <c r="C58" s="8">
        <v>-1.11999</v>
      </c>
      <c r="D58" s="8">
        <v>0</v>
      </c>
      <c r="E58" s="11">
        <v>7.9500000000000001E-2</v>
      </c>
      <c r="F58" s="8">
        <f t="shared" si="14"/>
        <v>5.3394187500000002E-2</v>
      </c>
      <c r="G58" s="8">
        <f t="shared" si="15"/>
        <v>-5.9800956058125007E-2</v>
      </c>
      <c r="H58" s="13">
        <f t="shared" si="16"/>
        <v>0</v>
      </c>
    </row>
    <row r="59" spans="1:11" x14ac:dyDescent="0.35">
      <c r="A59" s="12" t="s">
        <v>4</v>
      </c>
      <c r="B59" s="8">
        <v>0.26600000000000001</v>
      </c>
      <c r="C59" s="8">
        <v>-1</v>
      </c>
      <c r="D59" s="8">
        <v>0</v>
      </c>
      <c r="E59" s="11">
        <v>2.7885E-2</v>
      </c>
      <c r="F59" s="8">
        <f t="shared" si="14"/>
        <v>7.4174100000000001E-3</v>
      </c>
      <c r="G59" s="8">
        <f t="shared" si="15"/>
        <v>-7.4174100000000001E-3</v>
      </c>
      <c r="H59" s="13">
        <f t="shared" si="16"/>
        <v>0</v>
      </c>
    </row>
    <row r="60" spans="1:11" x14ac:dyDescent="0.35">
      <c r="A60" s="12" t="s">
        <v>24</v>
      </c>
      <c r="B60" s="8">
        <v>2.4999000000000002E-3</v>
      </c>
      <c r="C60" s="8">
        <v>-0.5</v>
      </c>
      <c r="D60" s="8">
        <v>0</v>
      </c>
      <c r="E60" s="11">
        <f>0.4081/2</f>
        <v>0.20405000000000001</v>
      </c>
      <c r="F60" s="8">
        <f t="shared" si="14"/>
        <v>5.1010459500000006E-4</v>
      </c>
      <c r="G60" s="8">
        <f t="shared" si="15"/>
        <v>-2.5505229750000003E-4</v>
      </c>
      <c r="H60" s="13">
        <f t="shared" si="16"/>
        <v>0</v>
      </c>
    </row>
    <row r="61" spans="1:11" x14ac:dyDescent="0.35">
      <c r="A61" s="12" t="s">
        <v>16</v>
      </c>
      <c r="B61" s="8">
        <v>2.4999000000000002E-3</v>
      </c>
      <c r="C61" s="8">
        <v>-0.5</v>
      </c>
      <c r="D61" s="8">
        <v>0</v>
      </c>
      <c r="E61" s="11">
        <f>0.5*0.3811</f>
        <v>0.19055</v>
      </c>
      <c r="F61" s="8">
        <f t="shared" si="14"/>
        <v>4.7635594500000005E-4</v>
      </c>
      <c r="G61" s="8">
        <f t="shared" si="15"/>
        <v>-2.3817797250000002E-4</v>
      </c>
      <c r="H61" s="13">
        <f t="shared" si="16"/>
        <v>0</v>
      </c>
    </row>
    <row r="62" spans="1:11" x14ac:dyDescent="0.35">
      <c r="A62" s="12" t="s">
        <v>20</v>
      </c>
      <c r="B62" s="8">
        <v>0.26600000000000001</v>
      </c>
      <c r="C62" s="8">
        <v>-1</v>
      </c>
      <c r="D62" s="8">
        <v>-6.5000000000000002E-2</v>
      </c>
      <c r="E62" s="11">
        <v>4.1700000000000001E-2</v>
      </c>
      <c r="F62" s="8">
        <f t="shared" ref="F62" si="17">E62*B62</f>
        <v>1.1092200000000002E-2</v>
      </c>
      <c r="G62" s="8">
        <f t="shared" ref="G62" si="18">F62*C62</f>
        <v>-1.1092200000000002E-2</v>
      </c>
      <c r="H62" s="13">
        <f t="shared" ref="H62" si="19">G62*D62</f>
        <v>7.2099300000000018E-4</v>
      </c>
    </row>
    <row r="63" spans="1:11" x14ac:dyDescent="0.35">
      <c r="A63" s="12" t="s">
        <v>27</v>
      </c>
      <c r="B63" s="8"/>
      <c r="C63" s="8"/>
      <c r="D63" s="8"/>
      <c r="E63" s="11">
        <f>SUM(E57:E62)</f>
        <v>0.62318499999999999</v>
      </c>
      <c r="F63" s="11">
        <f>SUM(F57:F62)</f>
        <v>0.12628444554000001</v>
      </c>
      <c r="G63" s="11">
        <f>SUM(G57:G62)</f>
        <v>-0.12579068132812501</v>
      </c>
      <c r="H63" s="14">
        <f>SUM(H57:H62)</f>
        <v>7.2099300000000018E-4</v>
      </c>
    </row>
    <row r="64" spans="1:11" x14ac:dyDescent="0.35">
      <c r="A64" s="4"/>
      <c r="H64" s="5"/>
    </row>
    <row r="65" spans="1:11" x14ac:dyDescent="0.35">
      <c r="A65" s="12" t="s">
        <v>28</v>
      </c>
      <c r="B65" s="8">
        <v>1.8295999999999999</v>
      </c>
      <c r="H65" s="5"/>
    </row>
    <row r="66" spans="1:11" x14ac:dyDescent="0.35">
      <c r="A66" s="12" t="s">
        <v>52</v>
      </c>
      <c r="B66" s="8">
        <v>2.6499999999999999E-2</v>
      </c>
      <c r="H66" s="5"/>
    </row>
    <row r="67" spans="1:11" x14ac:dyDescent="0.35">
      <c r="A67" s="12" t="s">
        <v>29</v>
      </c>
      <c r="B67" s="8">
        <v>1.0966</v>
      </c>
      <c r="H67" s="5"/>
    </row>
    <row r="68" spans="1:11" x14ac:dyDescent="0.35">
      <c r="A68" s="12" t="s">
        <v>49</v>
      </c>
      <c r="B68" s="19">
        <f>E56-B67</f>
        <v>0.10981499999999977</v>
      </c>
      <c r="H68" s="5"/>
    </row>
    <row r="69" spans="1:11" ht="15" thickBot="1" x14ac:dyDescent="0.4">
      <c r="A69" s="15" t="s">
        <v>46</v>
      </c>
      <c r="B69" s="20">
        <f>E56</f>
        <v>1.2064149999999998</v>
      </c>
      <c r="C69" s="6"/>
      <c r="D69" s="6"/>
      <c r="E69" s="6"/>
      <c r="F69" s="6"/>
      <c r="G69" s="6"/>
      <c r="H69" s="7"/>
    </row>
    <row r="71" spans="1:11" ht="15" thickBot="1" x14ac:dyDescent="0.4"/>
    <row r="72" spans="1:11" x14ac:dyDescent="0.35">
      <c r="A72" s="18" t="s">
        <v>42</v>
      </c>
      <c r="B72" s="2"/>
      <c r="C72" s="2"/>
      <c r="D72" s="2"/>
      <c r="E72" s="2"/>
      <c r="F72" s="2"/>
      <c r="G72" s="2"/>
      <c r="H72" s="3"/>
    </row>
    <row r="73" spans="1:11" x14ac:dyDescent="0.35">
      <c r="A73" s="12"/>
      <c r="B73" s="8" t="s">
        <v>0</v>
      </c>
      <c r="C73" s="8" t="s">
        <v>1</v>
      </c>
      <c r="D73" s="8" t="s">
        <v>2</v>
      </c>
      <c r="E73" s="8" t="s">
        <v>3</v>
      </c>
      <c r="F73" s="8" t="s">
        <v>10</v>
      </c>
      <c r="G73" s="8" t="s">
        <v>12</v>
      </c>
      <c r="H73" s="13" t="s">
        <v>11</v>
      </c>
    </row>
    <row r="74" spans="1:11" x14ac:dyDescent="0.35">
      <c r="A74" s="12" t="s">
        <v>25</v>
      </c>
      <c r="B74" s="9">
        <f>(B85*B86-F83)/E74</f>
        <v>-6.87852308160984E-2</v>
      </c>
      <c r="C74" s="8" t="s">
        <v>9</v>
      </c>
      <c r="D74" s="8" t="s">
        <v>9</v>
      </c>
      <c r="E74" s="10">
        <f>(B85-E83)</f>
        <v>1.5772729999999999</v>
      </c>
      <c r="F74" s="8" t="s">
        <v>9</v>
      </c>
      <c r="G74" s="8" t="s">
        <v>9</v>
      </c>
      <c r="H74" s="13" t="s">
        <v>9</v>
      </c>
      <c r="K74" s="1"/>
    </row>
    <row r="75" spans="1:11" x14ac:dyDescent="0.35">
      <c r="A75" s="12" t="s">
        <v>22</v>
      </c>
      <c r="B75" s="8">
        <v>0.98499999999999999</v>
      </c>
      <c r="C75" s="8">
        <v>0</v>
      </c>
      <c r="D75" s="8">
        <v>0</v>
      </c>
      <c r="E75" s="11">
        <v>6.5699999999999995E-2</v>
      </c>
      <c r="F75" s="8">
        <f t="shared" ref="F75:F79" si="20">E75*B75</f>
        <v>6.4714499999999994E-2</v>
      </c>
      <c r="G75" s="8">
        <f t="shared" ref="G75:G79" si="21">F75*C75</f>
        <v>0</v>
      </c>
      <c r="H75" s="13">
        <f t="shared" ref="H75:H79" si="22">G75*D75</f>
        <v>0</v>
      </c>
    </row>
    <row r="76" spans="1:11" x14ac:dyDescent="0.35">
      <c r="A76" s="12" t="s">
        <v>23</v>
      </c>
      <c r="B76" s="8">
        <v>0.98499999999999999</v>
      </c>
      <c r="C76" s="8">
        <v>0</v>
      </c>
      <c r="D76" s="8">
        <v>0</v>
      </c>
      <c r="E76" s="11">
        <v>0.109</v>
      </c>
      <c r="F76" s="8">
        <f t="shared" si="20"/>
        <v>0.107365</v>
      </c>
      <c r="G76" s="8">
        <f t="shared" si="21"/>
        <v>0</v>
      </c>
      <c r="H76" s="13">
        <f t="shared" si="22"/>
        <v>0</v>
      </c>
    </row>
    <row r="77" spans="1:11" x14ac:dyDescent="0.35">
      <c r="A77" s="12" t="s">
        <v>36</v>
      </c>
      <c r="B77" s="8">
        <v>0.46250000000000002</v>
      </c>
      <c r="C77" s="8">
        <v>0</v>
      </c>
      <c r="D77" s="8">
        <v>0</v>
      </c>
      <c r="E77" s="11">
        <v>4.7476999999999998E-2</v>
      </c>
      <c r="F77" s="8">
        <f t="shared" si="20"/>
        <v>2.1958112500000002E-2</v>
      </c>
      <c r="G77" s="8">
        <f t="shared" si="21"/>
        <v>0</v>
      </c>
      <c r="H77" s="13">
        <f t="shared" si="22"/>
        <v>0</v>
      </c>
    </row>
    <row r="78" spans="1:11" x14ac:dyDescent="0.35">
      <c r="A78" s="12" t="s">
        <v>24</v>
      </c>
      <c r="B78" s="8">
        <v>2.4999000000000002E-3</v>
      </c>
      <c r="C78" s="8">
        <v>-0.5</v>
      </c>
      <c r="D78" s="8">
        <v>0</v>
      </c>
      <c r="E78" s="11">
        <f>0.4081/2</f>
        <v>0.20405000000000001</v>
      </c>
      <c r="F78" s="8">
        <f t="shared" si="20"/>
        <v>5.1010459500000006E-4</v>
      </c>
      <c r="G78" s="8">
        <f t="shared" si="21"/>
        <v>-2.5505229750000003E-4</v>
      </c>
      <c r="H78" s="13">
        <f t="shared" si="22"/>
        <v>0</v>
      </c>
    </row>
    <row r="79" spans="1:11" x14ac:dyDescent="0.35">
      <c r="A79" s="12" t="s">
        <v>26</v>
      </c>
      <c r="B79" s="8">
        <v>2.4999000000000002E-3</v>
      </c>
      <c r="C79" s="8">
        <v>0.5</v>
      </c>
      <c r="D79" s="8">
        <v>0</v>
      </c>
      <c r="E79" s="11">
        <f>0.5*0.3946</f>
        <v>0.1973</v>
      </c>
      <c r="F79" s="8">
        <f t="shared" si="20"/>
        <v>4.9323027E-4</v>
      </c>
      <c r="G79" s="8">
        <f t="shared" si="21"/>
        <v>2.46615135E-4</v>
      </c>
      <c r="H79" s="13">
        <f t="shared" si="22"/>
        <v>0</v>
      </c>
    </row>
    <row r="80" spans="1:11" x14ac:dyDescent="0.35">
      <c r="A80" s="12" t="s">
        <v>37</v>
      </c>
      <c r="B80" s="8">
        <v>0.46250000000000002</v>
      </c>
      <c r="C80" s="8">
        <v>0</v>
      </c>
      <c r="D80" s="8">
        <v>-6.5000000000000002E-2</v>
      </c>
      <c r="E80" s="11">
        <v>6.6199999999999995E-2</v>
      </c>
      <c r="F80" s="8">
        <f t="shared" ref="F80:F82" si="23">E80*B80</f>
        <v>3.0617499999999999E-2</v>
      </c>
      <c r="G80" s="8">
        <f t="shared" ref="G80:G82" si="24">F80*C80</f>
        <v>0</v>
      </c>
      <c r="H80" s="13">
        <f t="shared" ref="H80:H82" si="25">G80*D80</f>
        <v>0</v>
      </c>
    </row>
    <row r="81" spans="1:11" x14ac:dyDescent="0.35">
      <c r="A81" s="12" t="s">
        <v>38</v>
      </c>
      <c r="B81" s="8">
        <v>-0.17</v>
      </c>
      <c r="C81" s="8">
        <v>0</v>
      </c>
      <c r="D81" s="8">
        <v>0.04</v>
      </c>
      <c r="E81" s="11">
        <v>0.49370000000000003</v>
      </c>
      <c r="F81" s="8">
        <f t="shared" si="23"/>
        <v>-8.3929000000000017E-2</v>
      </c>
      <c r="G81" s="8">
        <f t="shared" si="24"/>
        <v>0</v>
      </c>
      <c r="H81" s="13">
        <f t="shared" si="25"/>
        <v>0</v>
      </c>
    </row>
    <row r="82" spans="1:11" x14ac:dyDescent="0.35">
      <c r="A82" s="12" t="s">
        <v>39</v>
      </c>
      <c r="B82" s="8">
        <v>0.11</v>
      </c>
      <c r="C82" s="8">
        <v>0</v>
      </c>
      <c r="D82" s="8">
        <v>0.04</v>
      </c>
      <c r="E82" s="11">
        <v>0.49370000000000003</v>
      </c>
      <c r="F82" s="8">
        <f t="shared" si="23"/>
        <v>5.4307000000000001E-2</v>
      </c>
      <c r="G82" s="8">
        <f t="shared" si="24"/>
        <v>0</v>
      </c>
      <c r="H82" s="13">
        <f t="shared" si="25"/>
        <v>0</v>
      </c>
    </row>
    <row r="83" spans="1:11" x14ac:dyDescent="0.35">
      <c r="A83" s="12" t="s">
        <v>27</v>
      </c>
      <c r="B83" s="8"/>
      <c r="C83" s="8"/>
      <c r="D83" s="8"/>
      <c r="E83" s="11">
        <f>SUM(E75:E82)</f>
        <v>1.677127</v>
      </c>
      <c r="F83" s="11">
        <f>SUM(F75:F82)</f>
        <v>0.19603644736499998</v>
      </c>
      <c r="G83" s="11">
        <f>SUM(G75:G80)</f>
        <v>-8.437162500000029E-6</v>
      </c>
      <c r="H83" s="14">
        <f>SUM(H75:H80)</f>
        <v>0</v>
      </c>
    </row>
    <row r="84" spans="1:11" x14ac:dyDescent="0.35">
      <c r="A84" s="4"/>
      <c r="H84" s="5"/>
    </row>
    <row r="85" spans="1:11" x14ac:dyDescent="0.35">
      <c r="A85" s="12" t="s">
        <v>28</v>
      </c>
      <c r="B85" s="8">
        <v>3.2544</v>
      </c>
      <c r="H85" s="5"/>
      <c r="K85" s="1"/>
    </row>
    <row r="86" spans="1:11" x14ac:dyDescent="0.35">
      <c r="A86" s="12" t="s">
        <v>52</v>
      </c>
      <c r="B86" s="8">
        <v>2.69E-2</v>
      </c>
      <c r="H86" s="5"/>
      <c r="K86" s="1"/>
    </row>
    <row r="87" spans="1:11" x14ac:dyDescent="0.35">
      <c r="A87" s="12" t="s">
        <v>29</v>
      </c>
      <c r="B87" s="8">
        <v>2.0447000000000002</v>
      </c>
      <c r="H87" s="5"/>
    </row>
    <row r="88" spans="1:11" x14ac:dyDescent="0.35">
      <c r="A88" s="12" t="s">
        <v>47</v>
      </c>
      <c r="B88" s="19">
        <f>E74-B87</f>
        <v>-0.46742700000000026</v>
      </c>
      <c r="C88" s="1"/>
      <c r="H88" s="5"/>
    </row>
    <row r="89" spans="1:11" x14ac:dyDescent="0.35">
      <c r="A89" s="12" t="s">
        <v>51</v>
      </c>
      <c r="B89" s="19">
        <f>B68+B51+B34+B17</f>
        <v>0.40989499999999945</v>
      </c>
      <c r="C89" s="1"/>
      <c r="H89" s="5"/>
    </row>
    <row r="90" spans="1:11" ht="15" thickBot="1" x14ac:dyDescent="0.4">
      <c r="A90" s="15" t="s">
        <v>46</v>
      </c>
      <c r="B90" s="20">
        <f>B87-B89</f>
        <v>1.6348050000000007</v>
      </c>
      <c r="C90" s="17"/>
      <c r="D90" s="6"/>
      <c r="E90" s="6"/>
      <c r="F90" s="6"/>
      <c r="G90" s="6"/>
      <c r="H90" s="7"/>
    </row>
    <row r="92" spans="1:11" x14ac:dyDescent="0.35">
      <c r="B92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"/>
  <sheetViews>
    <sheetView tabSelected="1" workbookViewId="0">
      <selection activeCell="N6" sqref="N6"/>
    </sheetView>
  </sheetViews>
  <sheetFormatPr defaultRowHeight="14.5" x14ac:dyDescent="0.35"/>
  <cols>
    <col min="1" max="1" width="32" bestFit="1" customWidth="1"/>
    <col min="2" max="2" width="12.7265625" bestFit="1" customWidth="1"/>
    <col min="4" max="4" width="10" bestFit="1" customWidth="1"/>
    <col min="5" max="5" width="12.1796875" customWidth="1"/>
    <col min="6" max="6" width="11" bestFit="1" customWidth="1"/>
    <col min="8" max="8" width="12" customWidth="1"/>
    <col min="9" max="9" width="18.81640625" bestFit="1" customWidth="1"/>
    <col min="10" max="10" width="28.7265625" bestFit="1" customWidth="1"/>
    <col min="11" max="11" width="8.7265625" bestFit="1" customWidth="1"/>
  </cols>
  <sheetData>
    <row r="1" spans="1:14" ht="15.5" x14ac:dyDescent="0.35">
      <c r="A1" s="40" t="s">
        <v>31</v>
      </c>
      <c r="B1" s="40"/>
      <c r="C1" s="40"/>
      <c r="G1" s="16"/>
      <c r="H1" t="s">
        <v>40</v>
      </c>
    </row>
    <row r="2" spans="1:14" ht="15.5" x14ac:dyDescent="0.35">
      <c r="A2" s="28"/>
      <c r="B2" s="28"/>
      <c r="C2" s="28"/>
    </row>
    <row r="3" spans="1:14" x14ac:dyDescent="0.35">
      <c r="A3" t="s">
        <v>68</v>
      </c>
      <c r="B3" s="1">
        <v>5.7560000000000002</v>
      </c>
      <c r="C3" t="s">
        <v>65</v>
      </c>
    </row>
    <row r="4" spans="1:14" x14ac:dyDescent="0.35">
      <c r="A4" t="s">
        <v>64</v>
      </c>
      <c r="B4" s="34">
        <f>0.01761581*100</f>
        <v>1.7615809999999998</v>
      </c>
      <c r="C4" t="s">
        <v>65</v>
      </c>
      <c r="N4" s="27">
        <v>7.8584480000000005E-3</v>
      </c>
    </row>
    <row r="5" spans="1:14" x14ac:dyDescent="0.35">
      <c r="A5" t="s">
        <v>66</v>
      </c>
      <c r="B5" s="34">
        <f>B4+B3</f>
        <v>7.5175809999999998</v>
      </c>
      <c r="C5" t="s">
        <v>65</v>
      </c>
      <c r="D5" s="35">
        <f>B5/20</f>
        <v>0.37587904999999999</v>
      </c>
      <c r="E5" s="32" t="s">
        <v>67</v>
      </c>
      <c r="F5" s="41">
        <f>AVERAGE(B18,B36,B54,B72,B93)</f>
        <v>0.33456000000000002</v>
      </c>
      <c r="N5">
        <f>N4*100+B3</f>
        <v>6.5418447999999998</v>
      </c>
    </row>
    <row r="6" spans="1:14" ht="15" thickBot="1" x14ac:dyDescent="0.4">
      <c r="B6" s="1"/>
      <c r="D6" s="33"/>
      <c r="E6" s="32"/>
      <c r="F6" s="31"/>
      <c r="N6">
        <f>N5/20</f>
        <v>0.32709223999999998</v>
      </c>
    </row>
    <row r="7" spans="1:14" x14ac:dyDescent="0.35">
      <c r="A7" s="18" t="s">
        <v>32</v>
      </c>
      <c r="B7" s="2"/>
      <c r="C7" s="2"/>
      <c r="D7" s="2"/>
      <c r="E7" s="2"/>
      <c r="F7" s="2"/>
      <c r="G7" s="2"/>
      <c r="H7" s="3"/>
      <c r="J7" t="s">
        <v>69</v>
      </c>
    </row>
    <row r="8" spans="1:14" x14ac:dyDescent="0.35">
      <c r="A8" s="12"/>
      <c r="B8" s="8" t="s">
        <v>0</v>
      </c>
      <c r="C8" s="8" t="s">
        <v>1</v>
      </c>
      <c r="D8" s="8" t="s">
        <v>2</v>
      </c>
      <c r="E8" s="8" t="s">
        <v>3</v>
      </c>
      <c r="F8" s="8" t="s">
        <v>10</v>
      </c>
      <c r="G8" s="8" t="s">
        <v>12</v>
      </c>
      <c r="H8" s="13" t="s">
        <v>11</v>
      </c>
      <c r="J8" t="s">
        <v>70</v>
      </c>
    </row>
    <row r="9" spans="1:14" x14ac:dyDescent="0.35">
      <c r="A9" s="12" t="s">
        <v>33</v>
      </c>
      <c r="B9" s="9">
        <f>(B17*B19-F15)/E9</f>
        <v>-5.1650732162103904E-2</v>
      </c>
      <c r="C9" s="8" t="s">
        <v>9</v>
      </c>
      <c r="D9" s="8" t="s">
        <v>9</v>
      </c>
      <c r="E9" s="10">
        <f>(B17-E15)</f>
        <v>1.3916999999999997</v>
      </c>
      <c r="F9" s="8" t="s">
        <v>9</v>
      </c>
      <c r="G9" s="8" t="s">
        <v>9</v>
      </c>
      <c r="H9" s="13" t="s">
        <v>9</v>
      </c>
      <c r="J9" t="s">
        <v>71</v>
      </c>
      <c r="K9">
        <v>66</v>
      </c>
      <c r="L9" t="s">
        <v>72</v>
      </c>
    </row>
    <row r="10" spans="1:14" x14ac:dyDescent="0.35">
      <c r="A10" s="12" t="s">
        <v>8</v>
      </c>
      <c r="B10" s="8">
        <v>0.65715400000000002</v>
      </c>
      <c r="C10" s="8">
        <v>1.88</v>
      </c>
      <c r="D10" s="8">
        <v>0</v>
      </c>
      <c r="E10" s="11">
        <v>7.0157499999999998E-2</v>
      </c>
      <c r="F10" s="8">
        <f t="shared" ref="F10:H14" si="0">E10*B10</f>
        <v>4.6104281754999997E-2</v>
      </c>
      <c r="G10" s="8">
        <f t="shared" si="0"/>
        <v>8.6676049699399987E-2</v>
      </c>
      <c r="H10" s="13">
        <f t="shared" si="0"/>
        <v>0</v>
      </c>
      <c r="J10" s="1" t="s">
        <v>74</v>
      </c>
      <c r="K10">
        <v>27</v>
      </c>
      <c r="L10" t="s">
        <v>72</v>
      </c>
    </row>
    <row r="11" spans="1:14" x14ac:dyDescent="0.35">
      <c r="A11" s="12" t="s">
        <v>7</v>
      </c>
      <c r="B11" s="8">
        <v>0.65715400000000002</v>
      </c>
      <c r="C11" s="8">
        <v>2.11999</v>
      </c>
      <c r="D11" s="8">
        <v>0</v>
      </c>
      <c r="E11" s="11">
        <v>7.0157499999999998E-2</v>
      </c>
      <c r="F11" s="8">
        <f t="shared" si="0"/>
        <v>4.6104281754999997E-2</v>
      </c>
      <c r="G11" s="8">
        <f t="shared" si="0"/>
        <v>9.7740616277782452E-2</v>
      </c>
      <c r="H11" s="13">
        <f t="shared" si="0"/>
        <v>0</v>
      </c>
      <c r="J11" s="36" t="s">
        <v>73</v>
      </c>
      <c r="K11" s="37">
        <v>140</v>
      </c>
      <c r="L11" t="s">
        <v>72</v>
      </c>
    </row>
    <row r="12" spans="1:14" x14ac:dyDescent="0.35">
      <c r="A12" s="12" t="s">
        <v>35</v>
      </c>
      <c r="B12">
        <v>0.25700400000000001</v>
      </c>
      <c r="C12" s="8">
        <v>2</v>
      </c>
      <c r="D12" s="8">
        <v>0</v>
      </c>
      <c r="E12" s="11">
        <v>2.7885E-2</v>
      </c>
      <c r="F12" s="8">
        <f t="shared" si="0"/>
        <v>7.1665565400000006E-3</v>
      </c>
      <c r="G12" s="8">
        <f t="shared" si="0"/>
        <v>1.4333113080000001E-2</v>
      </c>
      <c r="H12" s="13">
        <f t="shared" si="0"/>
        <v>0</v>
      </c>
      <c r="J12" s="38" t="s">
        <v>75</v>
      </c>
      <c r="K12" s="38">
        <v>47.9</v>
      </c>
      <c r="L12" t="s">
        <v>76</v>
      </c>
    </row>
    <row r="13" spans="1:14" x14ac:dyDescent="0.35">
      <c r="A13" s="12" t="s">
        <v>5</v>
      </c>
      <c r="B13" s="29">
        <v>-5.0689999999999997E-3</v>
      </c>
      <c r="C13" s="8">
        <v>2.492</v>
      </c>
      <c r="D13" s="8">
        <v>3.4729900000000001E-2</v>
      </c>
      <c r="E13" s="11">
        <v>0.4446</v>
      </c>
      <c r="F13" s="8">
        <f t="shared" si="0"/>
        <v>-2.2536773999999996E-3</v>
      </c>
      <c r="G13" s="8">
        <f t="shared" si="0"/>
        <v>-5.6161640807999994E-3</v>
      </c>
      <c r="H13" s="13">
        <f t="shared" si="0"/>
        <v>-1.950488169097759E-4</v>
      </c>
    </row>
    <row r="14" spans="1:14" x14ac:dyDescent="0.35">
      <c r="A14" s="12" t="s">
        <v>6</v>
      </c>
      <c r="B14" s="29">
        <v>-5.0689999999999997E-3</v>
      </c>
      <c r="C14" s="8">
        <v>1.75</v>
      </c>
      <c r="D14" s="8">
        <v>0</v>
      </c>
      <c r="E14" s="11">
        <f>0.5*0.3806</f>
        <v>0.1903</v>
      </c>
      <c r="F14" s="8">
        <f t="shared" si="0"/>
        <v>-9.6463069999999998E-4</v>
      </c>
      <c r="G14" s="8">
        <f t="shared" si="0"/>
        <v>-1.688103725E-3</v>
      </c>
      <c r="H14" s="13">
        <f t="shared" si="0"/>
        <v>0</v>
      </c>
      <c r="J14" t="s">
        <v>77</v>
      </c>
      <c r="K14" s="39">
        <f>K11+K12-K9-K10</f>
        <v>94.9</v>
      </c>
      <c r="L14" t="s">
        <v>72</v>
      </c>
    </row>
    <row r="15" spans="1:14" x14ac:dyDescent="0.35">
      <c r="A15" s="12" t="s">
        <v>27</v>
      </c>
      <c r="B15" s="8"/>
      <c r="C15" s="8"/>
      <c r="D15" s="8"/>
      <c r="E15" s="11">
        <f>SUM(E10:E14)</f>
        <v>0.80310000000000004</v>
      </c>
      <c r="F15" s="11">
        <f>SUM(F10:F14)</f>
        <v>9.615681194999999E-2</v>
      </c>
      <c r="G15" s="11">
        <f>SUM(G10:G14)</f>
        <v>0.19144551125138243</v>
      </c>
      <c r="H15" s="14">
        <f>SUM(H10:H14)</f>
        <v>-1.950488169097759E-4</v>
      </c>
    </row>
    <row r="16" spans="1:14" x14ac:dyDescent="0.35">
      <c r="A16" s="4"/>
      <c r="H16" s="5"/>
    </row>
    <row r="17" spans="1:21" x14ac:dyDescent="0.35">
      <c r="A17" s="12" t="s">
        <v>28</v>
      </c>
      <c r="B17" s="8">
        <v>2.1947999999999999</v>
      </c>
      <c r="H17" s="5"/>
    </row>
    <row r="18" spans="1:21" x14ac:dyDescent="0.35">
      <c r="A18" s="12" t="s">
        <v>62</v>
      </c>
      <c r="B18" s="25">
        <v>0.34310000000000002</v>
      </c>
      <c r="H18" s="5"/>
    </row>
    <row r="19" spans="1:21" x14ac:dyDescent="0.35">
      <c r="A19" s="12" t="s">
        <v>63</v>
      </c>
      <c r="B19" s="8">
        <f>B18*0.2-B3*0.01</f>
        <v>1.106E-2</v>
      </c>
      <c r="H19" s="5"/>
    </row>
    <row r="20" spans="1:21" x14ac:dyDescent="0.35">
      <c r="A20" s="12" t="s">
        <v>29</v>
      </c>
      <c r="B20" s="8">
        <v>1.4651000000000001</v>
      </c>
      <c r="H20" s="5"/>
      <c r="M20" t="s">
        <v>57</v>
      </c>
      <c r="O20" t="s">
        <v>58</v>
      </c>
      <c r="P20" t="s">
        <v>59</v>
      </c>
    </row>
    <row r="21" spans="1:21" x14ac:dyDescent="0.35">
      <c r="A21" s="12" t="s">
        <v>45</v>
      </c>
      <c r="B21" s="10">
        <f>E9-B20</f>
        <v>-7.3400000000000354E-2</v>
      </c>
      <c r="H21" s="5"/>
      <c r="L21" t="s">
        <v>54</v>
      </c>
      <c r="M21">
        <f>0.2878*20</f>
        <v>5.7560000000000002</v>
      </c>
      <c r="N21">
        <f>O21-M21</f>
        <v>1.0039999999999996</v>
      </c>
      <c r="O21">
        <f>20-13.24</f>
        <v>6.76</v>
      </c>
      <c r="P21">
        <v>4.75</v>
      </c>
      <c r="R21">
        <f>O21+2.661</f>
        <v>9.4209999999999994</v>
      </c>
      <c r="T21" t="s">
        <v>60</v>
      </c>
      <c r="U21" t="s">
        <v>61</v>
      </c>
    </row>
    <row r="22" spans="1:21" ht="15" thickBot="1" x14ac:dyDescent="0.4">
      <c r="A22" s="15" t="s">
        <v>46</v>
      </c>
      <c r="B22" s="23">
        <f>E9</f>
        <v>1.3916999999999997</v>
      </c>
      <c r="C22" s="6"/>
      <c r="D22" s="6"/>
      <c r="E22" s="6"/>
      <c r="F22" s="6"/>
      <c r="G22" s="6"/>
      <c r="H22" s="7"/>
      <c r="L22" t="s">
        <v>55</v>
      </c>
      <c r="M22">
        <f>M21-2.94</f>
        <v>2.8160000000000003</v>
      </c>
      <c r="N22">
        <f>N21*0.001</f>
        <v>1.0039999999999997E-3</v>
      </c>
      <c r="O22">
        <f>O21-0.5069</f>
        <v>6.2530999999999999</v>
      </c>
      <c r="P22">
        <f>4.75+0.25</f>
        <v>5</v>
      </c>
      <c r="R22">
        <f>R21/20</f>
        <v>0.47104999999999997</v>
      </c>
      <c r="T22">
        <f>2.93+P21</f>
        <v>7.68</v>
      </c>
      <c r="U22">
        <f>2.76+4.75</f>
        <v>7.51</v>
      </c>
    </row>
    <row r="23" spans="1:21" x14ac:dyDescent="0.35">
      <c r="L23" t="s">
        <v>56</v>
      </c>
      <c r="M23" s="22">
        <f>M22/20</f>
        <v>0.14080000000000001</v>
      </c>
      <c r="O23" s="22">
        <f>O22/20</f>
        <v>0.31265500000000002</v>
      </c>
      <c r="P23">
        <f>P22/20</f>
        <v>0.25</v>
      </c>
      <c r="T23">
        <f>T22/20</f>
        <v>0.38400000000000001</v>
      </c>
      <c r="U23">
        <f>U22/20</f>
        <v>0.3755</v>
      </c>
    </row>
    <row r="24" spans="1:21" ht="15" thickBot="1" x14ac:dyDescent="0.4"/>
    <row r="25" spans="1:21" x14ac:dyDescent="0.35">
      <c r="A25" s="18" t="s">
        <v>41</v>
      </c>
      <c r="B25" s="2"/>
      <c r="C25" s="2"/>
      <c r="D25" s="2"/>
      <c r="E25" s="2"/>
      <c r="F25" s="2"/>
      <c r="G25" s="2"/>
      <c r="H25" s="3"/>
    </row>
    <row r="26" spans="1:21" x14ac:dyDescent="0.35">
      <c r="A26" s="12"/>
      <c r="B26" s="8" t="s">
        <v>0</v>
      </c>
      <c r="C26" s="8" t="s">
        <v>1</v>
      </c>
      <c r="D26" s="8" t="s">
        <v>2</v>
      </c>
      <c r="E26" s="8" t="s">
        <v>3</v>
      </c>
      <c r="F26" s="8" t="s">
        <v>10</v>
      </c>
      <c r="G26" s="8" t="s">
        <v>12</v>
      </c>
      <c r="H26" s="13" t="s">
        <v>11</v>
      </c>
      <c r="M26">
        <f>M21/20</f>
        <v>0.2878</v>
      </c>
      <c r="O26">
        <f>O21/20</f>
        <v>0.33799999999999997</v>
      </c>
    </row>
    <row r="27" spans="1:21" x14ac:dyDescent="0.35">
      <c r="A27" s="12" t="s">
        <v>13</v>
      </c>
      <c r="B27" s="9">
        <f>(B35*B37-F33)/E27</f>
        <v>-5.7809447910187522E-2</v>
      </c>
      <c r="C27" s="8" t="s">
        <v>9</v>
      </c>
      <c r="D27" s="8" t="s">
        <v>9</v>
      </c>
      <c r="E27" s="10">
        <f>(B35-E33)</f>
        <v>1.4710650000000001</v>
      </c>
      <c r="F27" s="8" t="s">
        <v>9</v>
      </c>
      <c r="G27" s="8" t="s">
        <v>9</v>
      </c>
      <c r="H27" s="13" t="s">
        <v>9</v>
      </c>
      <c r="K27" s="1"/>
    </row>
    <row r="28" spans="1:21" x14ac:dyDescent="0.35">
      <c r="A28" s="12" t="s">
        <v>14</v>
      </c>
      <c r="B28" s="8">
        <v>0.65715400000000002</v>
      </c>
      <c r="C28" s="8">
        <v>-1.88</v>
      </c>
      <c r="D28" s="8">
        <v>0</v>
      </c>
      <c r="E28" s="11">
        <v>7.4999999999999997E-2</v>
      </c>
      <c r="F28" s="8">
        <f t="shared" ref="F28:H32" si="1">E28*B28</f>
        <v>4.9286549999999998E-2</v>
      </c>
      <c r="G28" s="8">
        <f t="shared" si="1"/>
        <v>-9.2658713999999989E-2</v>
      </c>
      <c r="H28" s="13">
        <f t="shared" si="1"/>
        <v>0</v>
      </c>
      <c r="J28" s="1"/>
    </row>
    <row r="29" spans="1:21" x14ac:dyDescent="0.35">
      <c r="A29" s="12" t="s">
        <v>34</v>
      </c>
      <c r="B29" s="8">
        <v>0.65715400000000002</v>
      </c>
      <c r="C29" s="8">
        <v>-2.11999</v>
      </c>
      <c r="D29" s="8">
        <v>0</v>
      </c>
      <c r="E29" s="11">
        <v>7.4999999999999997E-2</v>
      </c>
      <c r="F29" s="8">
        <f t="shared" si="1"/>
        <v>4.9286549999999998E-2</v>
      </c>
      <c r="G29" s="8">
        <f t="shared" si="1"/>
        <v>-0.10448699313449999</v>
      </c>
      <c r="H29" s="13">
        <f t="shared" si="1"/>
        <v>0</v>
      </c>
    </row>
    <row r="30" spans="1:21" x14ac:dyDescent="0.35">
      <c r="A30" s="12" t="s">
        <v>35</v>
      </c>
      <c r="B30">
        <v>0.25700400000000001</v>
      </c>
      <c r="C30" s="8">
        <v>-2</v>
      </c>
      <c r="D30" s="8">
        <v>0</v>
      </c>
      <c r="E30" s="11">
        <v>2.7885E-2</v>
      </c>
      <c r="F30" s="8">
        <f t="shared" si="1"/>
        <v>7.1665565400000006E-3</v>
      </c>
      <c r="G30" s="8">
        <f t="shared" si="1"/>
        <v>-1.4333113080000001E-2</v>
      </c>
      <c r="H30" s="13">
        <f t="shared" si="1"/>
        <v>0</v>
      </c>
    </row>
    <row r="31" spans="1:21" x14ac:dyDescent="0.35">
      <c r="A31" s="12" t="s">
        <v>15</v>
      </c>
      <c r="B31" s="29">
        <v>-5.0689999999999997E-3</v>
      </c>
      <c r="C31" s="8">
        <v>-2.492</v>
      </c>
      <c r="D31" s="8">
        <v>3.4729900000000001E-2</v>
      </c>
      <c r="E31" s="11">
        <v>0.4219</v>
      </c>
      <c r="F31" s="8">
        <f t="shared" si="1"/>
        <v>-2.1386110999999999E-3</v>
      </c>
      <c r="G31" s="8">
        <f t="shared" si="1"/>
        <v>5.3294188612E-3</v>
      </c>
      <c r="H31" s="13">
        <f t="shared" si="1"/>
        <v>1.8509018410758988E-4</v>
      </c>
    </row>
    <row r="32" spans="1:21" x14ac:dyDescent="0.35">
      <c r="A32" s="12" t="s">
        <v>16</v>
      </c>
      <c r="B32" s="29">
        <v>-5.0689999999999997E-3</v>
      </c>
      <c r="C32" s="8">
        <v>-1.75</v>
      </c>
      <c r="D32" s="8">
        <v>0</v>
      </c>
      <c r="E32" s="11">
        <f>0.5*0.3811</f>
        <v>0.19055</v>
      </c>
      <c r="F32" s="8">
        <f t="shared" si="1"/>
        <v>-9.6589794999999996E-4</v>
      </c>
      <c r="G32" s="8">
        <f t="shared" si="1"/>
        <v>1.6903214124999999E-3</v>
      </c>
      <c r="H32" s="13">
        <f t="shared" si="1"/>
        <v>0</v>
      </c>
    </row>
    <row r="33" spans="1:11" x14ac:dyDescent="0.35">
      <c r="A33" s="12" t="s">
        <v>27</v>
      </c>
      <c r="B33" s="8"/>
      <c r="C33" s="8"/>
      <c r="D33" s="8"/>
      <c r="E33" s="11">
        <f>SUM(E28:E32)</f>
        <v>0.79033500000000001</v>
      </c>
      <c r="F33" s="11">
        <f>SUM(F28:F32)</f>
        <v>0.10263514749000001</v>
      </c>
      <c r="G33" s="11">
        <f>SUM(G28:G32)</f>
        <v>-0.20445907994079998</v>
      </c>
      <c r="H33" s="14">
        <f>SUM(H28:H32)</f>
        <v>1.8509018410758988E-4</v>
      </c>
    </row>
    <row r="34" spans="1:11" x14ac:dyDescent="0.35">
      <c r="A34" s="4"/>
      <c r="H34" s="5"/>
    </row>
    <row r="35" spans="1:11" x14ac:dyDescent="0.35">
      <c r="A35" s="12" t="s">
        <v>28</v>
      </c>
      <c r="B35" s="8">
        <v>2.2614000000000001</v>
      </c>
      <c r="H35" s="5"/>
    </row>
    <row r="36" spans="1:11" x14ac:dyDescent="0.35">
      <c r="A36" s="12" t="s">
        <v>62</v>
      </c>
      <c r="B36" s="25">
        <v>0.32669999999999999</v>
      </c>
      <c r="H36" s="5"/>
    </row>
    <row r="37" spans="1:11" x14ac:dyDescent="0.35">
      <c r="A37" s="12" t="s">
        <v>63</v>
      </c>
      <c r="B37" s="8">
        <f>B36*0.2-B3*0.01</f>
        <v>7.7799999999999953E-3</v>
      </c>
      <c r="H37" s="5"/>
    </row>
    <row r="38" spans="1:11" x14ac:dyDescent="0.35">
      <c r="A38" s="12" t="s">
        <v>29</v>
      </c>
      <c r="B38" s="8">
        <v>1.5177</v>
      </c>
      <c r="H38" s="5"/>
    </row>
    <row r="39" spans="1:11" x14ac:dyDescent="0.35">
      <c r="A39" s="12" t="s">
        <v>50</v>
      </c>
      <c r="B39" s="10">
        <f>E27-B38</f>
        <v>-4.6634999999999982E-2</v>
      </c>
      <c r="H39" s="5"/>
    </row>
    <row r="40" spans="1:11" ht="15" thickBot="1" x14ac:dyDescent="0.4">
      <c r="A40" s="15" t="s">
        <v>46</v>
      </c>
      <c r="B40" s="23">
        <f>E27</f>
        <v>1.4710650000000001</v>
      </c>
      <c r="C40" s="6"/>
      <c r="D40" s="6"/>
      <c r="E40" s="6"/>
      <c r="F40" s="6"/>
      <c r="G40" s="6"/>
      <c r="H40" s="7"/>
    </row>
    <row r="41" spans="1:11" ht="15" thickBot="1" x14ac:dyDescent="0.4">
      <c r="B41" s="1"/>
    </row>
    <row r="42" spans="1:11" x14ac:dyDescent="0.35">
      <c r="A42" s="18" t="s">
        <v>44</v>
      </c>
      <c r="B42" s="2"/>
      <c r="C42" s="2"/>
      <c r="D42" s="2"/>
      <c r="E42" s="2"/>
      <c r="F42" s="2"/>
      <c r="G42" s="2"/>
      <c r="H42" s="3"/>
    </row>
    <row r="43" spans="1:11" x14ac:dyDescent="0.35">
      <c r="A43" s="12"/>
      <c r="B43" s="8" t="s">
        <v>0</v>
      </c>
      <c r="C43" s="8" t="s">
        <v>1</v>
      </c>
      <c r="D43" s="8" t="s">
        <v>2</v>
      </c>
      <c r="E43" s="8" t="s">
        <v>3</v>
      </c>
      <c r="F43" s="8" t="s">
        <v>10</v>
      </c>
      <c r="G43" s="8" t="s">
        <v>12</v>
      </c>
      <c r="H43" s="13" t="s">
        <v>11</v>
      </c>
    </row>
    <row r="44" spans="1:11" x14ac:dyDescent="0.35">
      <c r="A44" s="12" t="s">
        <v>17</v>
      </c>
      <c r="B44" s="9">
        <f>(B53*B55-F51)/E44</f>
        <v>-7.9614998545928378E-2</v>
      </c>
      <c r="C44" s="8" t="s">
        <v>9</v>
      </c>
      <c r="D44" s="8" t="s">
        <v>9</v>
      </c>
      <c r="E44" s="10">
        <f>(B53-E51)</f>
        <v>1.1588150000000002</v>
      </c>
      <c r="F44" s="8" t="s">
        <v>9</v>
      </c>
      <c r="G44" s="8" t="s">
        <v>9</v>
      </c>
      <c r="H44" s="13" t="s">
        <v>9</v>
      </c>
      <c r="K44" s="1"/>
    </row>
    <row r="45" spans="1:11" x14ac:dyDescent="0.35">
      <c r="A45" s="12" t="s">
        <v>18</v>
      </c>
      <c r="B45" s="8">
        <v>0.65715400000000002</v>
      </c>
      <c r="C45" s="8">
        <v>0.88</v>
      </c>
      <c r="D45" s="8">
        <v>0</v>
      </c>
      <c r="E45" s="11">
        <v>7.5700000000000003E-2</v>
      </c>
      <c r="F45" s="8">
        <f t="shared" ref="F45:H50" si="2">E45*B45</f>
        <v>4.9746557800000001E-2</v>
      </c>
      <c r="G45" s="8">
        <f t="shared" si="2"/>
        <v>4.3776970864000002E-2</v>
      </c>
      <c r="H45" s="13">
        <f t="shared" si="2"/>
        <v>0</v>
      </c>
      <c r="J45" s="1"/>
    </row>
    <row r="46" spans="1:11" x14ac:dyDescent="0.35">
      <c r="A46" s="12" t="s">
        <v>19</v>
      </c>
      <c r="B46" s="8">
        <v>0.65715400000000002</v>
      </c>
      <c r="C46" s="8">
        <v>1.11999</v>
      </c>
      <c r="D46" s="8">
        <v>0</v>
      </c>
      <c r="E46" s="11">
        <v>7.5700000000000003E-2</v>
      </c>
      <c r="F46" s="8">
        <f t="shared" si="2"/>
        <v>4.9746557800000001E-2</v>
      </c>
      <c r="G46" s="8">
        <f t="shared" si="2"/>
        <v>5.5715647270422004E-2</v>
      </c>
      <c r="H46" s="13">
        <f t="shared" si="2"/>
        <v>0</v>
      </c>
    </row>
    <row r="47" spans="1:11" x14ac:dyDescent="0.35">
      <c r="A47" s="12" t="s">
        <v>4</v>
      </c>
      <c r="B47">
        <v>0.25700400000000001</v>
      </c>
      <c r="C47" s="8">
        <v>1</v>
      </c>
      <c r="D47" s="8">
        <v>0</v>
      </c>
      <c r="E47" s="11">
        <v>2.7885E-2</v>
      </c>
      <c r="F47" s="8">
        <f t="shared" si="2"/>
        <v>7.1665565400000006E-3</v>
      </c>
      <c r="G47" s="8">
        <f t="shared" si="2"/>
        <v>7.1665565400000006E-3</v>
      </c>
      <c r="H47" s="13">
        <f t="shared" si="2"/>
        <v>0</v>
      </c>
    </row>
    <row r="48" spans="1:11" x14ac:dyDescent="0.35">
      <c r="A48" s="12" t="s">
        <v>30</v>
      </c>
      <c r="B48" s="29">
        <v>-5.0689999999999997E-3</v>
      </c>
      <c r="C48" s="8">
        <v>0.5</v>
      </c>
      <c r="D48" s="8">
        <v>0</v>
      </c>
      <c r="E48" s="11">
        <f>0.3946/2</f>
        <v>0.1973</v>
      </c>
      <c r="F48" s="8">
        <f t="shared" si="2"/>
        <v>-1.0001137E-3</v>
      </c>
      <c r="G48" s="8">
        <f t="shared" si="2"/>
        <v>-5.0005684999999999E-4</v>
      </c>
      <c r="H48" s="13">
        <f t="shared" si="2"/>
        <v>0</v>
      </c>
    </row>
    <row r="49" spans="1:11" x14ac:dyDescent="0.35">
      <c r="A49" s="12" t="s">
        <v>6</v>
      </c>
      <c r="B49" s="29">
        <v>-5.0689999999999997E-3</v>
      </c>
      <c r="C49" s="8">
        <v>1.5</v>
      </c>
      <c r="D49" s="8">
        <v>0</v>
      </c>
      <c r="E49" s="11">
        <f>0.5*0.3806</f>
        <v>0.1903</v>
      </c>
      <c r="F49" s="8">
        <f t="shared" si="2"/>
        <v>-9.6463069999999998E-4</v>
      </c>
      <c r="G49" s="8">
        <f t="shared" si="2"/>
        <v>-1.44694605E-3</v>
      </c>
      <c r="H49" s="13">
        <f t="shared" si="2"/>
        <v>0</v>
      </c>
    </row>
    <row r="50" spans="1:11" x14ac:dyDescent="0.35">
      <c r="A50" s="12" t="s">
        <v>20</v>
      </c>
      <c r="B50">
        <v>0.25700400000000001</v>
      </c>
      <c r="C50" s="8">
        <v>1</v>
      </c>
      <c r="D50" s="8">
        <v>-6.5000000000000002E-2</v>
      </c>
      <c r="E50" s="11">
        <v>4.1700000000000001E-2</v>
      </c>
      <c r="F50" s="8">
        <f t="shared" si="2"/>
        <v>1.0717066800000001E-2</v>
      </c>
      <c r="G50" s="8">
        <f t="shared" si="2"/>
        <v>1.0717066800000001E-2</v>
      </c>
      <c r="H50" s="13">
        <f t="shared" si="2"/>
        <v>-6.9660934200000009E-4</v>
      </c>
    </row>
    <row r="51" spans="1:11" x14ac:dyDescent="0.35">
      <c r="A51" s="12" t="s">
        <v>27</v>
      </c>
      <c r="B51" s="8"/>
      <c r="C51" s="8"/>
      <c r="D51" s="8"/>
      <c r="E51" s="11">
        <f>SUM(E45:E50)</f>
        <v>0.60858499999999993</v>
      </c>
      <c r="F51" s="11">
        <f>SUM(F45:F50)</f>
        <v>0.11541199454000001</v>
      </c>
      <c r="G51" s="11">
        <f>SUM(G45:G50)</f>
        <v>0.11542923857442203</v>
      </c>
      <c r="H51" s="14">
        <f>SUM(H45:H50)</f>
        <v>-6.9660934200000009E-4</v>
      </c>
    </row>
    <row r="52" spans="1:11" x14ac:dyDescent="0.35">
      <c r="A52" s="4"/>
      <c r="H52" s="5"/>
    </row>
    <row r="53" spans="1:11" x14ac:dyDescent="0.35">
      <c r="A53" s="12" t="s">
        <v>28</v>
      </c>
      <c r="B53" s="8">
        <v>1.7674000000000001</v>
      </c>
      <c r="H53" s="5"/>
    </row>
    <row r="54" spans="1:11" x14ac:dyDescent="0.35">
      <c r="A54" s="12" t="s">
        <v>62</v>
      </c>
      <c r="B54" s="24">
        <v>0.3533</v>
      </c>
      <c r="H54" s="5"/>
    </row>
    <row r="55" spans="1:11" x14ac:dyDescent="0.35">
      <c r="A55" s="12" t="s">
        <v>63</v>
      </c>
      <c r="B55" s="8">
        <f>B54*0.2-B3*0.01</f>
        <v>1.3100000000000001E-2</v>
      </c>
      <c r="H55" s="5"/>
    </row>
    <row r="56" spans="1:11" x14ac:dyDescent="0.35">
      <c r="A56" s="12" t="s">
        <v>29</v>
      </c>
      <c r="B56" s="8">
        <v>1.3469</v>
      </c>
      <c r="H56" s="5"/>
    </row>
    <row r="57" spans="1:11" x14ac:dyDescent="0.35">
      <c r="A57" s="12" t="s">
        <v>48</v>
      </c>
      <c r="B57" s="26">
        <f>E44-B56</f>
        <v>-0.18808499999999984</v>
      </c>
      <c r="H57" s="5"/>
    </row>
    <row r="58" spans="1:11" ht="15" thickBot="1" x14ac:dyDescent="0.4">
      <c r="A58" s="15" t="s">
        <v>46</v>
      </c>
      <c r="B58" s="23">
        <f>E44</f>
        <v>1.1588150000000002</v>
      </c>
      <c r="C58" s="6"/>
      <c r="D58" s="6"/>
      <c r="E58" s="6"/>
      <c r="F58" s="6"/>
      <c r="G58" s="6"/>
      <c r="H58" s="7"/>
    </row>
    <row r="59" spans="1:11" ht="15" thickBot="1" x14ac:dyDescent="0.4">
      <c r="B59" s="1"/>
    </row>
    <row r="60" spans="1:11" x14ac:dyDescent="0.35">
      <c r="A60" s="18" t="s">
        <v>43</v>
      </c>
      <c r="B60" s="2"/>
      <c r="C60" s="2"/>
      <c r="D60" s="2"/>
      <c r="E60" s="2"/>
      <c r="F60" s="2"/>
      <c r="G60" s="2"/>
      <c r="H60" s="3"/>
    </row>
    <row r="61" spans="1:11" x14ac:dyDescent="0.35">
      <c r="A61" s="12"/>
      <c r="B61" s="8" t="s">
        <v>0</v>
      </c>
      <c r="C61" s="8" t="s">
        <v>1</v>
      </c>
      <c r="D61" s="8" t="s">
        <v>2</v>
      </c>
      <c r="E61" s="8" t="s">
        <v>3</v>
      </c>
      <c r="F61" s="8" t="s">
        <v>10</v>
      </c>
      <c r="G61" s="8" t="s">
        <v>12</v>
      </c>
      <c r="H61" s="13" t="s">
        <v>11</v>
      </c>
    </row>
    <row r="62" spans="1:11" x14ac:dyDescent="0.35">
      <c r="A62" s="12" t="s">
        <v>21</v>
      </c>
      <c r="B62" s="9">
        <f>(B71*B73-F69)/E62</f>
        <v>-9.7268921700807656E-2</v>
      </c>
      <c r="C62" s="8" t="s">
        <v>9</v>
      </c>
      <c r="D62" s="8" t="s">
        <v>9</v>
      </c>
      <c r="E62" s="10">
        <f>(B71-E69)</f>
        <v>0.99611499999999997</v>
      </c>
      <c r="F62" s="8" t="s">
        <v>9</v>
      </c>
      <c r="G62" s="8" t="s">
        <v>9</v>
      </c>
      <c r="H62" s="13" t="s">
        <v>9</v>
      </c>
      <c r="K62" s="1"/>
    </row>
    <row r="63" spans="1:11" x14ac:dyDescent="0.35">
      <c r="A63" s="12" t="s">
        <v>22</v>
      </c>
      <c r="B63" s="8">
        <v>0.65715400000000002</v>
      </c>
      <c r="C63" s="8">
        <v>-0.88</v>
      </c>
      <c r="D63" s="8">
        <v>0</v>
      </c>
      <c r="E63" s="11">
        <v>7.9500000000000001E-2</v>
      </c>
      <c r="F63" s="8">
        <f t="shared" ref="F63:H68" si="3">E63*B63</f>
        <v>5.2243743000000002E-2</v>
      </c>
      <c r="G63" s="8">
        <f t="shared" si="3"/>
        <v>-4.5974493840000005E-2</v>
      </c>
      <c r="H63" s="13">
        <f t="shared" si="3"/>
        <v>0</v>
      </c>
      <c r="J63" s="1"/>
    </row>
    <row r="64" spans="1:11" x14ac:dyDescent="0.35">
      <c r="A64" s="12" t="s">
        <v>23</v>
      </c>
      <c r="B64" s="8">
        <v>0.65715400000000002</v>
      </c>
      <c r="C64" s="8">
        <v>-1.11999</v>
      </c>
      <c r="D64" s="8">
        <v>0</v>
      </c>
      <c r="E64" s="11">
        <v>7.9500000000000001E-2</v>
      </c>
      <c r="F64" s="8">
        <f t="shared" si="3"/>
        <v>5.2243743000000002E-2</v>
      </c>
      <c r="G64" s="8">
        <f t="shared" si="3"/>
        <v>-5.8512469722570001E-2</v>
      </c>
      <c r="H64" s="13">
        <f t="shared" si="3"/>
        <v>0</v>
      </c>
    </row>
    <row r="65" spans="1:8" x14ac:dyDescent="0.35">
      <c r="A65" s="12" t="s">
        <v>4</v>
      </c>
      <c r="B65">
        <v>0.25700400000000001</v>
      </c>
      <c r="C65" s="8">
        <v>-1</v>
      </c>
      <c r="D65" s="8">
        <v>0</v>
      </c>
      <c r="E65" s="11">
        <v>2.7885E-2</v>
      </c>
      <c r="F65" s="8">
        <f t="shared" si="3"/>
        <v>7.1665565400000006E-3</v>
      </c>
      <c r="G65" s="8">
        <f t="shared" si="3"/>
        <v>-7.1665565400000006E-3</v>
      </c>
      <c r="H65" s="13">
        <f t="shared" si="3"/>
        <v>0</v>
      </c>
    </row>
    <row r="66" spans="1:8" x14ac:dyDescent="0.35">
      <c r="A66" s="12" t="s">
        <v>24</v>
      </c>
      <c r="B66" s="29">
        <v>-5.0689999999999997E-3</v>
      </c>
      <c r="C66" s="8">
        <v>-0.5</v>
      </c>
      <c r="D66" s="8">
        <v>0</v>
      </c>
      <c r="E66" s="11">
        <f>0.4081/2</f>
        <v>0.20405000000000001</v>
      </c>
      <c r="F66" s="8">
        <f t="shared" si="3"/>
        <v>-1.03432945E-3</v>
      </c>
      <c r="G66" s="8">
        <f t="shared" si="3"/>
        <v>5.17164725E-4</v>
      </c>
      <c r="H66" s="13">
        <f t="shared" si="3"/>
        <v>0</v>
      </c>
    </row>
    <row r="67" spans="1:8" x14ac:dyDescent="0.35">
      <c r="A67" s="12" t="s">
        <v>16</v>
      </c>
      <c r="B67" s="29">
        <v>-5.0689999999999997E-3</v>
      </c>
      <c r="C67" s="8">
        <v>-0.5</v>
      </c>
      <c r="D67" s="8">
        <v>0</v>
      </c>
      <c r="E67" s="11">
        <f>0.5*0.3811</f>
        <v>0.19055</v>
      </c>
      <c r="F67" s="8">
        <f t="shared" si="3"/>
        <v>-9.6589794999999996E-4</v>
      </c>
      <c r="G67" s="8">
        <f t="shared" si="3"/>
        <v>4.8294897499999998E-4</v>
      </c>
      <c r="H67" s="13">
        <f t="shared" si="3"/>
        <v>0</v>
      </c>
    </row>
    <row r="68" spans="1:8" x14ac:dyDescent="0.35">
      <c r="A68" s="12" t="s">
        <v>20</v>
      </c>
      <c r="B68">
        <v>0.25700400000000001</v>
      </c>
      <c r="C68" s="8">
        <v>-1</v>
      </c>
      <c r="D68" s="8">
        <v>-6.5000000000000002E-2</v>
      </c>
      <c r="E68" s="11">
        <v>4.1700000000000001E-2</v>
      </c>
      <c r="F68" s="8">
        <f t="shared" si="3"/>
        <v>1.0717066800000001E-2</v>
      </c>
      <c r="G68" s="8">
        <f t="shared" si="3"/>
        <v>-1.0717066800000001E-2</v>
      </c>
      <c r="H68" s="13">
        <f t="shared" si="3"/>
        <v>6.9660934200000009E-4</v>
      </c>
    </row>
    <row r="69" spans="1:8" x14ac:dyDescent="0.35">
      <c r="A69" s="12" t="s">
        <v>27</v>
      </c>
      <c r="B69" s="8"/>
      <c r="C69" s="8"/>
      <c r="D69" s="8"/>
      <c r="E69" s="11">
        <f>SUM(E63:E68)</f>
        <v>0.62318499999999999</v>
      </c>
      <c r="F69" s="11">
        <f>SUM(F63:F68)</f>
        <v>0.12037088194000001</v>
      </c>
      <c r="G69" s="11">
        <f>SUM(G63:G68)</f>
        <v>-0.12137047320257002</v>
      </c>
      <c r="H69" s="14">
        <f>SUM(H63:H68)</f>
        <v>6.9660934200000009E-4</v>
      </c>
    </row>
    <row r="70" spans="1:8" x14ac:dyDescent="0.35">
      <c r="A70" s="4"/>
      <c r="H70" s="5"/>
    </row>
    <row r="71" spans="1:8" x14ac:dyDescent="0.35">
      <c r="A71" s="12" t="s">
        <v>28</v>
      </c>
      <c r="B71" s="8">
        <v>1.6193</v>
      </c>
      <c r="H71" s="5"/>
    </row>
    <row r="72" spans="1:8" x14ac:dyDescent="0.35">
      <c r="A72" s="12" t="s">
        <v>62</v>
      </c>
      <c r="B72" s="25">
        <v>0.36030000000000001</v>
      </c>
      <c r="H72" s="5"/>
    </row>
    <row r="73" spans="1:8" x14ac:dyDescent="0.35">
      <c r="A73" s="12" t="s">
        <v>63</v>
      </c>
      <c r="B73" s="8">
        <f>B72*0.2-B3*0.01</f>
        <v>1.4499999999999999E-2</v>
      </c>
      <c r="H73" s="5"/>
    </row>
    <row r="74" spans="1:8" x14ac:dyDescent="0.35">
      <c r="A74" s="12" t="s">
        <v>29</v>
      </c>
      <c r="B74" s="8">
        <v>1.3012999999999999</v>
      </c>
      <c r="H74" s="5"/>
    </row>
    <row r="75" spans="1:8" x14ac:dyDescent="0.35">
      <c r="A75" s="12" t="s">
        <v>49</v>
      </c>
      <c r="B75" s="10">
        <f>E62-B74</f>
        <v>-0.30518499999999993</v>
      </c>
      <c r="H75" s="5"/>
    </row>
    <row r="76" spans="1:8" ht="15" thickBot="1" x14ac:dyDescent="0.4">
      <c r="A76" s="15" t="s">
        <v>46</v>
      </c>
      <c r="B76" s="23">
        <f>E62</f>
        <v>0.99611499999999997</v>
      </c>
      <c r="C76" s="6"/>
      <c r="D76" s="6"/>
      <c r="E76" s="6"/>
      <c r="F76" s="6"/>
      <c r="G76" s="6"/>
      <c r="H76" s="7"/>
    </row>
    <row r="78" spans="1:8" ht="15" thickBot="1" x14ac:dyDescent="0.4"/>
    <row r="79" spans="1:8" x14ac:dyDescent="0.35">
      <c r="A79" s="18" t="s">
        <v>42</v>
      </c>
      <c r="B79" s="2"/>
      <c r="C79" s="2"/>
      <c r="D79" s="2"/>
      <c r="E79" s="2"/>
      <c r="F79" s="2"/>
      <c r="G79" s="2"/>
      <c r="H79" s="3"/>
    </row>
    <row r="80" spans="1:8" x14ac:dyDescent="0.35">
      <c r="A80" s="12"/>
      <c r="B80" s="8" t="s">
        <v>0</v>
      </c>
      <c r="C80" s="8" t="s">
        <v>1</v>
      </c>
      <c r="D80" s="8" t="s">
        <v>2</v>
      </c>
      <c r="E80" s="8" t="s">
        <v>3</v>
      </c>
      <c r="F80" s="8" t="s">
        <v>10</v>
      </c>
      <c r="G80" s="8" t="s">
        <v>12</v>
      </c>
      <c r="H80" s="13" t="s">
        <v>11</v>
      </c>
    </row>
    <row r="81" spans="1:11" x14ac:dyDescent="0.35">
      <c r="A81" s="12" t="s">
        <v>25</v>
      </c>
      <c r="B81" s="27">
        <f>(B92*B94-F90)/E81</f>
        <v>-8.4960438723090559E-2</v>
      </c>
      <c r="C81" s="8" t="s">
        <v>9</v>
      </c>
      <c r="D81" s="8" t="s">
        <v>9</v>
      </c>
      <c r="E81" s="10">
        <f>(B92-E90)</f>
        <v>1.9845730000000001</v>
      </c>
      <c r="F81" s="8" t="s">
        <v>9</v>
      </c>
      <c r="G81" s="8" t="s">
        <v>9</v>
      </c>
      <c r="H81" s="13" t="s">
        <v>9</v>
      </c>
      <c r="K81" s="1"/>
    </row>
    <row r="82" spans="1:11" x14ac:dyDescent="0.35">
      <c r="A82" s="12" t="s">
        <v>22</v>
      </c>
      <c r="B82" s="30">
        <v>0.96595399999999998</v>
      </c>
      <c r="C82" s="8">
        <v>0</v>
      </c>
      <c r="D82" s="8">
        <v>0</v>
      </c>
      <c r="E82" s="11">
        <v>6.5699999999999995E-2</v>
      </c>
      <c r="F82" s="8">
        <f t="shared" ref="F82:H89" si="4">E82*B82</f>
        <v>6.3463177799999992E-2</v>
      </c>
      <c r="G82" s="8">
        <f t="shared" si="4"/>
        <v>0</v>
      </c>
      <c r="H82" s="13">
        <f t="shared" si="4"/>
        <v>0</v>
      </c>
    </row>
    <row r="83" spans="1:11" x14ac:dyDescent="0.35">
      <c r="A83" s="12" t="s">
        <v>23</v>
      </c>
      <c r="B83" s="30">
        <v>0.96595399999999998</v>
      </c>
      <c r="C83" s="8">
        <v>0</v>
      </c>
      <c r="D83" s="8">
        <v>0</v>
      </c>
      <c r="E83" s="11">
        <v>0.109</v>
      </c>
      <c r="F83" s="8">
        <f t="shared" si="4"/>
        <v>0.105288986</v>
      </c>
      <c r="G83" s="8">
        <f t="shared" si="4"/>
        <v>0</v>
      </c>
      <c r="H83" s="13">
        <f t="shared" si="4"/>
        <v>0</v>
      </c>
    </row>
    <row r="84" spans="1:11" x14ac:dyDescent="0.35">
      <c r="A84" s="12" t="s">
        <v>36</v>
      </c>
      <c r="B84" s="8">
        <v>0.45340400000000003</v>
      </c>
      <c r="C84" s="8">
        <v>0</v>
      </c>
      <c r="D84" s="8">
        <v>0</v>
      </c>
      <c r="E84" s="11">
        <v>4.7476999999999998E-2</v>
      </c>
      <c r="F84" s="8">
        <f t="shared" si="4"/>
        <v>2.1526261708E-2</v>
      </c>
      <c r="G84" s="8">
        <f t="shared" si="4"/>
        <v>0</v>
      </c>
      <c r="H84" s="13">
        <f t="shared" si="4"/>
        <v>0</v>
      </c>
    </row>
    <row r="85" spans="1:11" x14ac:dyDescent="0.35">
      <c r="A85" s="12" t="s">
        <v>24</v>
      </c>
      <c r="B85" s="29">
        <v>-5.0689999999999997E-3</v>
      </c>
      <c r="C85" s="8">
        <v>-0.5</v>
      </c>
      <c r="D85" s="8">
        <v>0</v>
      </c>
      <c r="E85" s="11">
        <f>0.4081/2</f>
        <v>0.20405000000000001</v>
      </c>
      <c r="F85" s="8">
        <f t="shared" si="4"/>
        <v>-1.03432945E-3</v>
      </c>
      <c r="G85" s="8">
        <f t="shared" si="4"/>
        <v>5.17164725E-4</v>
      </c>
      <c r="H85" s="13">
        <f t="shared" si="4"/>
        <v>0</v>
      </c>
    </row>
    <row r="86" spans="1:11" x14ac:dyDescent="0.35">
      <c r="A86" s="12" t="s">
        <v>26</v>
      </c>
      <c r="B86" s="29">
        <v>-5.0689999999999997E-3</v>
      </c>
      <c r="C86" s="8">
        <v>0.5</v>
      </c>
      <c r="D86" s="8">
        <v>0</v>
      </c>
      <c r="E86" s="11">
        <f>0.5*0.3946</f>
        <v>0.1973</v>
      </c>
      <c r="F86" s="8">
        <f t="shared" si="4"/>
        <v>-1.0001137E-3</v>
      </c>
      <c r="G86" s="8">
        <f t="shared" si="4"/>
        <v>-5.0005684999999999E-4</v>
      </c>
      <c r="H86" s="13">
        <f t="shared" si="4"/>
        <v>0</v>
      </c>
    </row>
    <row r="87" spans="1:11" x14ac:dyDescent="0.35">
      <c r="A87" s="12" t="s">
        <v>37</v>
      </c>
      <c r="B87" s="8">
        <v>0.45340400000000003</v>
      </c>
      <c r="C87" s="8">
        <v>0</v>
      </c>
      <c r="D87" s="8">
        <v>-6.5000000000000002E-2</v>
      </c>
      <c r="E87" s="11">
        <v>6.6199999999999995E-2</v>
      </c>
      <c r="F87" s="8">
        <f t="shared" si="4"/>
        <v>3.00153448E-2</v>
      </c>
      <c r="G87" s="8">
        <f t="shared" si="4"/>
        <v>0</v>
      </c>
      <c r="H87" s="13">
        <f t="shared" si="4"/>
        <v>0</v>
      </c>
    </row>
    <row r="88" spans="1:11" x14ac:dyDescent="0.35">
      <c r="A88" s="12" t="s">
        <v>38</v>
      </c>
      <c r="B88" s="8">
        <v>-0.18909599999999999</v>
      </c>
      <c r="C88" s="8">
        <v>0</v>
      </c>
      <c r="D88" s="8">
        <v>0.04</v>
      </c>
      <c r="E88" s="11">
        <v>0.49370000000000003</v>
      </c>
      <c r="F88" s="8">
        <f t="shared" si="4"/>
        <v>-9.3356695199999992E-2</v>
      </c>
      <c r="G88" s="8">
        <f t="shared" si="4"/>
        <v>0</v>
      </c>
      <c r="H88" s="13">
        <f t="shared" si="4"/>
        <v>0</v>
      </c>
    </row>
    <row r="89" spans="1:11" x14ac:dyDescent="0.35">
      <c r="A89" s="12" t="s">
        <v>39</v>
      </c>
      <c r="B89" s="8">
        <v>9.0903999999999999E-2</v>
      </c>
      <c r="C89" s="8">
        <v>0</v>
      </c>
      <c r="D89" s="8">
        <v>0.04</v>
      </c>
      <c r="E89" s="11">
        <v>0.49370000000000003</v>
      </c>
      <c r="F89" s="8">
        <f t="shared" si="4"/>
        <v>4.4879304799999999E-2</v>
      </c>
      <c r="G89" s="8">
        <f t="shared" si="4"/>
        <v>0</v>
      </c>
      <c r="H89" s="13">
        <f t="shared" si="4"/>
        <v>0</v>
      </c>
    </row>
    <row r="90" spans="1:11" x14ac:dyDescent="0.35">
      <c r="A90" s="12" t="s">
        <v>27</v>
      </c>
      <c r="B90" s="8"/>
      <c r="C90" s="8"/>
      <c r="D90" s="8"/>
      <c r="E90" s="11">
        <f>SUM(E82:E89)</f>
        <v>1.677127</v>
      </c>
      <c r="F90" s="11">
        <f>SUM(F82:F89)</f>
        <v>0.16978193675800002</v>
      </c>
      <c r="G90" s="11">
        <f>SUM(G82:G87)</f>
        <v>1.7107875000000011E-5</v>
      </c>
      <c r="H90" s="14">
        <f>SUM(H82:H87)</f>
        <v>0</v>
      </c>
    </row>
    <row r="91" spans="1:11" x14ac:dyDescent="0.35">
      <c r="A91" s="4"/>
      <c r="H91" s="5"/>
    </row>
    <row r="92" spans="1:11" x14ac:dyDescent="0.35">
      <c r="A92" s="12" t="s">
        <v>28</v>
      </c>
      <c r="B92" s="8">
        <v>3.6617000000000002</v>
      </c>
      <c r="H92" s="5"/>
      <c r="K92" s="1"/>
    </row>
    <row r="93" spans="1:11" x14ac:dyDescent="0.35">
      <c r="A93" s="12" t="s">
        <v>62</v>
      </c>
      <c r="B93" s="25">
        <v>0.28939999999999999</v>
      </c>
      <c r="H93" s="5"/>
      <c r="K93" s="1"/>
    </row>
    <row r="94" spans="1:11" x14ac:dyDescent="0.35">
      <c r="A94" s="12" t="s">
        <v>63</v>
      </c>
      <c r="B94" s="8">
        <f>B93*0.2-B3*0.01</f>
        <v>3.2000000000000084E-4</v>
      </c>
      <c r="H94" s="5"/>
      <c r="K94" s="1"/>
    </row>
    <row r="95" spans="1:11" x14ac:dyDescent="0.35">
      <c r="A95" s="12" t="s">
        <v>29</v>
      </c>
      <c r="B95" s="8">
        <v>1.6721999999999999</v>
      </c>
      <c r="H95" s="5"/>
    </row>
    <row r="96" spans="1:11" x14ac:dyDescent="0.35">
      <c r="A96" s="12" t="s">
        <v>47</v>
      </c>
      <c r="B96" s="10">
        <f>E81-B95</f>
        <v>0.31237300000000023</v>
      </c>
      <c r="C96" s="1"/>
      <c r="H96" s="5"/>
    </row>
    <row r="97" spans="1:8" ht="15" thickBot="1" x14ac:dyDescent="0.4">
      <c r="A97" s="15" t="s">
        <v>46</v>
      </c>
      <c r="B97" s="23">
        <f>E81</f>
        <v>1.9845730000000001</v>
      </c>
      <c r="C97" s="17"/>
      <c r="D97" s="6"/>
      <c r="E97" s="6"/>
      <c r="F97" s="6"/>
      <c r="G97" s="6"/>
      <c r="H97" s="7"/>
    </row>
    <row r="99" spans="1:8" x14ac:dyDescent="0.35">
      <c r="B99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Bilal Sharqi</cp:lastModifiedBy>
  <dcterms:created xsi:type="dcterms:W3CDTF">2018-10-17T20:25:04Z</dcterms:created>
  <dcterms:modified xsi:type="dcterms:W3CDTF">2023-02-15T20:09:35Z</dcterms:modified>
</cp:coreProperties>
</file>