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61ffde75f42bc1/Michigan/Work/2022/Fall 2022/X-HALE_GVT_VFA/Mass and CG 2023/"/>
    </mc:Choice>
  </mc:AlternateContent>
  <xr:revisionPtr revIDLastSave="442" documentId="8_{18634541-6194-416A-AEA6-1CA224CEAF22}" xr6:coauthVersionLast="47" xr6:coauthVersionMax="47" xr10:uidLastSave="{9D28C806-113B-46E5-9CEC-4215EC9B025C}"/>
  <bookViews>
    <workbookView xWindow="45360" yWindow="32280" windowWidth="29040" windowHeight="17520" xr2:uid="{2E6D0B59-BC59-42DB-B1BA-EA5AA93E62F8}"/>
  </bookViews>
  <sheets>
    <sheet name="Readings" sheetId="1" r:id="rId1"/>
    <sheet name="rawdata_for_matlab" sheetId="5" r:id="rId2"/>
    <sheet name="Scales" sheetId="3" r:id="rId3"/>
    <sheet name="trackchanges" sheetId="6" r:id="rId4"/>
  </sheets>
  <externalReferences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1" i="1" l="1"/>
  <c r="AY49" i="1"/>
  <c r="AY50" i="1"/>
  <c r="AY25" i="1"/>
  <c r="AY18" i="1"/>
  <c r="AY27" i="1"/>
  <c r="AY51" i="1"/>
  <c r="AX49" i="1"/>
  <c r="AX50" i="1"/>
  <c r="AX25" i="1"/>
  <c r="AX18" i="1"/>
  <c r="AX27" i="1"/>
  <c r="AX51" i="1"/>
  <c r="AW49" i="1"/>
  <c r="AW50" i="1"/>
  <c r="AW25" i="1"/>
  <c r="AW18" i="1"/>
  <c r="AW27" i="1"/>
  <c r="AW51" i="1"/>
  <c r="AV49" i="1"/>
  <c r="AV50" i="1"/>
  <c r="AV25" i="1"/>
  <c r="AV18" i="1"/>
  <c r="AV27" i="1"/>
  <c r="AV51" i="1"/>
  <c r="AU49" i="1"/>
  <c r="AU50" i="1"/>
  <c r="AU25" i="1"/>
  <c r="AU18" i="1"/>
  <c r="AU27" i="1"/>
  <c r="AU51" i="1"/>
  <c r="AT49" i="1"/>
  <c r="AT50" i="1"/>
  <c r="AT25" i="1"/>
  <c r="AT18" i="1"/>
  <c r="AT27" i="1"/>
  <c r="AT51" i="1"/>
  <c r="AS49" i="1"/>
  <c r="AS50" i="1"/>
  <c r="AS25" i="1"/>
  <c r="AS18" i="1"/>
  <c r="AS27" i="1"/>
  <c r="AS51" i="1"/>
  <c r="AR49" i="1"/>
  <c r="AR50" i="1"/>
  <c r="AR25" i="1"/>
  <c r="AR18" i="1"/>
  <c r="AR27" i="1"/>
  <c r="AR51" i="1"/>
  <c r="AQ49" i="1"/>
  <c r="AQ50" i="1"/>
  <c r="AQ25" i="1"/>
  <c r="AQ18" i="1"/>
  <c r="AQ27" i="1"/>
  <c r="AQ51" i="1"/>
  <c r="AP49" i="1"/>
  <c r="AP50" i="1"/>
  <c r="AP25" i="1"/>
  <c r="AP18" i="1"/>
  <c r="AP27" i="1"/>
  <c r="AP51" i="1"/>
  <c r="AO49" i="1"/>
  <c r="AO50" i="1"/>
  <c r="AO25" i="1"/>
  <c r="AO18" i="1"/>
  <c r="AO27" i="1"/>
  <c r="AO51" i="1"/>
  <c r="AN49" i="1"/>
  <c r="AN50" i="1"/>
  <c r="AN25" i="1"/>
  <c r="AN18" i="1"/>
  <c r="AN27" i="1"/>
  <c r="AN51" i="1"/>
  <c r="AM49" i="1"/>
  <c r="AM50" i="1"/>
  <c r="AM25" i="1"/>
  <c r="AM18" i="1"/>
  <c r="AM27" i="1"/>
  <c r="AM51" i="1"/>
  <c r="AL49" i="1"/>
  <c r="AL50" i="1"/>
  <c r="AL25" i="1"/>
  <c r="AL18" i="1"/>
  <c r="AL27" i="1"/>
  <c r="AL51" i="1"/>
  <c r="AK49" i="1"/>
  <c r="AK50" i="1"/>
  <c r="AK25" i="1"/>
  <c r="AK18" i="1"/>
  <c r="AK27" i="1"/>
  <c r="AK51" i="1"/>
  <c r="AJ49" i="1"/>
  <c r="AJ50" i="1"/>
  <c r="AJ25" i="1"/>
  <c r="AJ18" i="1"/>
  <c r="AJ27" i="1"/>
  <c r="AJ51" i="1"/>
  <c r="AI49" i="1"/>
  <c r="AI50" i="1"/>
  <c r="AI25" i="1"/>
  <c r="AI18" i="1"/>
  <c r="AI27" i="1"/>
  <c r="AI51" i="1"/>
  <c r="AH49" i="1"/>
  <c r="AH50" i="1"/>
  <c r="AH25" i="1"/>
  <c r="AH18" i="1"/>
  <c r="AH27" i="1"/>
  <c r="AH51" i="1"/>
  <c r="AG49" i="1"/>
  <c r="AG50" i="1"/>
  <c r="AG25" i="1"/>
  <c r="AG18" i="1"/>
  <c r="AG27" i="1"/>
  <c r="AG51" i="1"/>
  <c r="AF49" i="1"/>
  <c r="AF50" i="1"/>
  <c r="AF25" i="1"/>
  <c r="AF18" i="1"/>
  <c r="AF27" i="1"/>
  <c r="AE49" i="1"/>
  <c r="AE50" i="1"/>
  <c r="AE25" i="1"/>
  <c r="AE18" i="1"/>
  <c r="AE27" i="1"/>
  <c r="AE51" i="1"/>
  <c r="AD49" i="1"/>
  <c r="AD50" i="1"/>
  <c r="AD25" i="1"/>
  <c r="AD18" i="1"/>
  <c r="AD27" i="1"/>
  <c r="AD51" i="1"/>
  <c r="AC49" i="1"/>
  <c r="AC50" i="1"/>
  <c r="AC25" i="1"/>
  <c r="AC18" i="1"/>
  <c r="AC27" i="1"/>
  <c r="AC51" i="1"/>
  <c r="AB49" i="1"/>
  <c r="AB50" i="1"/>
  <c r="AB25" i="1"/>
  <c r="AB18" i="1"/>
  <c r="AB27" i="1"/>
  <c r="AB51" i="1"/>
  <c r="AY41" i="1"/>
  <c r="AY35" i="1"/>
  <c r="AY47" i="1"/>
  <c r="AX41" i="1"/>
  <c r="AX35" i="1"/>
  <c r="AX47" i="1"/>
  <c r="AW41" i="1"/>
  <c r="AW35" i="1"/>
  <c r="AW47" i="1"/>
  <c r="AV41" i="1"/>
  <c r="AV35" i="1"/>
  <c r="AV47" i="1"/>
  <c r="AU41" i="1"/>
  <c r="AU35" i="1"/>
  <c r="AU47" i="1"/>
  <c r="AT41" i="1"/>
  <c r="AT35" i="1"/>
  <c r="AT47" i="1"/>
  <c r="AS41" i="1"/>
  <c r="AS35" i="1"/>
  <c r="AS47" i="1"/>
  <c r="AR41" i="1"/>
  <c r="AR35" i="1"/>
  <c r="AR47" i="1"/>
  <c r="AQ41" i="1"/>
  <c r="AQ35" i="1"/>
  <c r="AQ47" i="1"/>
  <c r="AP41" i="1"/>
  <c r="AP35" i="1"/>
  <c r="AP47" i="1"/>
  <c r="AO41" i="1"/>
  <c r="AO35" i="1"/>
  <c r="AO47" i="1"/>
  <c r="AN41" i="1"/>
  <c r="AN35" i="1"/>
  <c r="AN47" i="1"/>
  <c r="AM41" i="1"/>
  <c r="AM35" i="1"/>
  <c r="AM47" i="1"/>
  <c r="AL41" i="1"/>
  <c r="AL35" i="1"/>
  <c r="AL47" i="1"/>
  <c r="AK41" i="1"/>
  <c r="AK35" i="1"/>
  <c r="AK47" i="1"/>
  <c r="AJ41" i="1"/>
  <c r="AJ35" i="1"/>
  <c r="AJ47" i="1"/>
  <c r="AI41" i="1"/>
  <c r="AI35" i="1"/>
  <c r="AI47" i="1"/>
  <c r="AH41" i="1"/>
  <c r="AH35" i="1"/>
  <c r="AH47" i="1"/>
  <c r="AG41" i="1"/>
  <c r="AG35" i="1"/>
  <c r="AG47" i="1"/>
  <c r="AF41" i="1"/>
  <c r="AF35" i="1"/>
  <c r="AF47" i="1"/>
  <c r="AE41" i="1"/>
  <c r="AE35" i="1"/>
  <c r="AE47" i="1"/>
  <c r="AD41" i="1"/>
  <c r="AD35" i="1"/>
  <c r="AD47" i="1"/>
  <c r="AC41" i="1"/>
  <c r="AC35" i="1"/>
  <c r="AC47" i="1"/>
  <c r="AB41" i="1"/>
  <c r="AB35" i="1"/>
  <c r="AB47" i="1"/>
  <c r="AY40" i="1"/>
  <c r="AY34" i="1"/>
  <c r="AY46" i="1"/>
  <c r="AX40" i="1"/>
  <c r="AX34" i="1"/>
  <c r="AX46" i="1"/>
  <c r="AW40" i="1"/>
  <c r="AW34" i="1"/>
  <c r="AW46" i="1"/>
  <c r="AV40" i="1"/>
  <c r="AV34" i="1"/>
  <c r="AV46" i="1"/>
  <c r="AU40" i="1"/>
  <c r="AU34" i="1"/>
  <c r="AU46" i="1"/>
  <c r="AT40" i="1"/>
  <c r="AT34" i="1"/>
  <c r="AT46" i="1"/>
  <c r="AS40" i="1"/>
  <c r="AS34" i="1"/>
  <c r="AS46" i="1"/>
  <c r="AR40" i="1"/>
  <c r="AR34" i="1"/>
  <c r="AR46" i="1"/>
  <c r="AQ40" i="1"/>
  <c r="AQ34" i="1"/>
  <c r="AQ46" i="1"/>
  <c r="AP40" i="1"/>
  <c r="AP34" i="1"/>
  <c r="AP46" i="1"/>
  <c r="AO40" i="1"/>
  <c r="AO34" i="1"/>
  <c r="AO46" i="1"/>
  <c r="AN40" i="1"/>
  <c r="AN34" i="1"/>
  <c r="AN46" i="1"/>
  <c r="AM40" i="1"/>
  <c r="AM34" i="1"/>
  <c r="AM46" i="1"/>
  <c r="AL40" i="1"/>
  <c r="AL34" i="1"/>
  <c r="AL46" i="1"/>
  <c r="AK40" i="1"/>
  <c r="AK34" i="1"/>
  <c r="AK46" i="1"/>
  <c r="AJ40" i="1"/>
  <c r="AJ34" i="1"/>
  <c r="AJ46" i="1"/>
  <c r="AI40" i="1"/>
  <c r="AI34" i="1"/>
  <c r="AI46" i="1"/>
  <c r="AH40" i="1"/>
  <c r="AH34" i="1"/>
  <c r="AH46" i="1"/>
  <c r="AG40" i="1"/>
  <c r="AG34" i="1"/>
  <c r="AG46" i="1"/>
  <c r="AF40" i="1"/>
  <c r="AF34" i="1"/>
  <c r="AF46" i="1"/>
  <c r="AE40" i="1"/>
  <c r="AE34" i="1"/>
  <c r="AE46" i="1"/>
  <c r="AD40" i="1"/>
  <c r="AD34" i="1"/>
  <c r="AD46" i="1"/>
  <c r="AC40" i="1"/>
  <c r="AC34" i="1"/>
  <c r="AC46" i="1"/>
  <c r="AB40" i="1"/>
  <c r="AB34" i="1"/>
  <c r="AB46" i="1"/>
  <c r="AY39" i="1"/>
  <c r="AY33" i="1"/>
  <c r="AY45" i="1"/>
  <c r="AX39" i="1"/>
  <c r="AX33" i="1"/>
  <c r="AX45" i="1"/>
  <c r="AW39" i="1"/>
  <c r="AW33" i="1"/>
  <c r="AW45" i="1"/>
  <c r="AV39" i="1"/>
  <c r="AV33" i="1"/>
  <c r="AV45" i="1"/>
  <c r="AU39" i="1"/>
  <c r="AU33" i="1"/>
  <c r="AU45" i="1"/>
  <c r="AT39" i="1"/>
  <c r="AT33" i="1"/>
  <c r="AT45" i="1"/>
  <c r="AS39" i="1"/>
  <c r="AS33" i="1"/>
  <c r="AS45" i="1"/>
  <c r="AR39" i="1"/>
  <c r="AR33" i="1"/>
  <c r="AR45" i="1"/>
  <c r="AQ39" i="1"/>
  <c r="AQ33" i="1"/>
  <c r="AQ45" i="1"/>
  <c r="AP39" i="1"/>
  <c r="AP33" i="1"/>
  <c r="AP45" i="1"/>
  <c r="AO39" i="1"/>
  <c r="AO33" i="1"/>
  <c r="AO45" i="1"/>
  <c r="AN39" i="1"/>
  <c r="AN33" i="1"/>
  <c r="AN45" i="1"/>
  <c r="AM39" i="1"/>
  <c r="AM33" i="1"/>
  <c r="AM45" i="1"/>
  <c r="AL39" i="1"/>
  <c r="AL33" i="1"/>
  <c r="AL45" i="1"/>
  <c r="AK39" i="1"/>
  <c r="AK33" i="1"/>
  <c r="AK45" i="1"/>
  <c r="AJ39" i="1"/>
  <c r="AJ33" i="1"/>
  <c r="AJ45" i="1"/>
  <c r="AI39" i="1"/>
  <c r="AI33" i="1"/>
  <c r="AI45" i="1"/>
  <c r="AH39" i="1"/>
  <c r="AH33" i="1"/>
  <c r="AH45" i="1"/>
  <c r="AG39" i="1"/>
  <c r="AG33" i="1"/>
  <c r="AG45" i="1"/>
  <c r="AF39" i="1"/>
  <c r="AF33" i="1"/>
  <c r="AF45" i="1"/>
  <c r="AE39" i="1"/>
  <c r="AE33" i="1"/>
  <c r="AE45" i="1"/>
  <c r="AD39" i="1"/>
  <c r="AD33" i="1"/>
  <c r="AD45" i="1"/>
  <c r="AC39" i="1"/>
  <c r="AC33" i="1"/>
  <c r="AC45" i="1"/>
  <c r="AB39" i="1"/>
  <c r="AB33" i="1"/>
  <c r="AB45" i="1"/>
  <c r="AY38" i="1"/>
  <c r="AY32" i="1"/>
  <c r="AY44" i="1"/>
  <c r="AX38" i="1"/>
  <c r="AX32" i="1"/>
  <c r="AX44" i="1"/>
  <c r="AW38" i="1"/>
  <c r="AW32" i="1"/>
  <c r="AW44" i="1"/>
  <c r="AV38" i="1"/>
  <c r="AV32" i="1"/>
  <c r="AV44" i="1"/>
  <c r="AU38" i="1"/>
  <c r="AU32" i="1"/>
  <c r="AU44" i="1"/>
  <c r="AT38" i="1"/>
  <c r="AT32" i="1"/>
  <c r="AT44" i="1"/>
  <c r="AS38" i="1"/>
  <c r="AS32" i="1"/>
  <c r="AS44" i="1"/>
  <c r="AR38" i="1"/>
  <c r="AR32" i="1"/>
  <c r="AR44" i="1"/>
  <c r="AQ38" i="1"/>
  <c r="AQ32" i="1"/>
  <c r="AQ44" i="1"/>
  <c r="AP38" i="1"/>
  <c r="AP32" i="1"/>
  <c r="AP44" i="1"/>
  <c r="AO38" i="1"/>
  <c r="AO32" i="1"/>
  <c r="AO44" i="1"/>
  <c r="AN38" i="1"/>
  <c r="AN32" i="1"/>
  <c r="AN44" i="1"/>
  <c r="AM38" i="1"/>
  <c r="AM32" i="1"/>
  <c r="AM44" i="1"/>
  <c r="AL38" i="1"/>
  <c r="AL32" i="1"/>
  <c r="AL44" i="1"/>
  <c r="AK38" i="1"/>
  <c r="AK32" i="1"/>
  <c r="AK44" i="1"/>
  <c r="AJ38" i="1"/>
  <c r="AJ32" i="1"/>
  <c r="AJ44" i="1"/>
  <c r="AI38" i="1"/>
  <c r="AI32" i="1"/>
  <c r="AI44" i="1"/>
  <c r="AH38" i="1"/>
  <c r="AH32" i="1"/>
  <c r="AH44" i="1"/>
  <c r="AG38" i="1"/>
  <c r="AG32" i="1"/>
  <c r="AG44" i="1"/>
  <c r="AF38" i="1"/>
  <c r="AF32" i="1"/>
  <c r="AF44" i="1"/>
  <c r="AE38" i="1"/>
  <c r="AE32" i="1"/>
  <c r="AE44" i="1"/>
  <c r="AD38" i="1"/>
  <c r="AD32" i="1"/>
  <c r="AD44" i="1"/>
  <c r="AC38" i="1"/>
  <c r="AC32" i="1"/>
  <c r="AC44" i="1"/>
  <c r="AB38" i="1"/>
  <c r="AB32" i="1"/>
  <c r="AB44" i="1"/>
  <c r="AY37" i="1"/>
  <c r="AY31" i="1"/>
  <c r="AY43" i="1"/>
  <c r="AX37" i="1"/>
  <c r="AX31" i="1"/>
  <c r="AX43" i="1"/>
  <c r="AW37" i="1"/>
  <c r="AW31" i="1"/>
  <c r="AW43" i="1"/>
  <c r="AV37" i="1"/>
  <c r="AV31" i="1"/>
  <c r="AV43" i="1"/>
  <c r="AU37" i="1"/>
  <c r="AU31" i="1"/>
  <c r="AU43" i="1"/>
  <c r="AT37" i="1"/>
  <c r="AT31" i="1"/>
  <c r="AT43" i="1"/>
  <c r="AS37" i="1"/>
  <c r="AS31" i="1"/>
  <c r="AS43" i="1"/>
  <c r="AR37" i="1"/>
  <c r="AR31" i="1"/>
  <c r="AR43" i="1"/>
  <c r="AQ37" i="1"/>
  <c r="AQ31" i="1"/>
  <c r="AQ43" i="1"/>
  <c r="AP37" i="1"/>
  <c r="AP31" i="1"/>
  <c r="AP43" i="1"/>
  <c r="AO37" i="1"/>
  <c r="AO31" i="1"/>
  <c r="AO43" i="1"/>
  <c r="AN37" i="1"/>
  <c r="AN31" i="1"/>
  <c r="AN43" i="1"/>
  <c r="AM37" i="1"/>
  <c r="AM31" i="1"/>
  <c r="AM43" i="1"/>
  <c r="AL37" i="1"/>
  <c r="AL31" i="1"/>
  <c r="AL43" i="1"/>
  <c r="AK37" i="1"/>
  <c r="AK31" i="1"/>
  <c r="AK43" i="1"/>
  <c r="AJ37" i="1"/>
  <c r="AJ31" i="1"/>
  <c r="AJ43" i="1"/>
  <c r="AI37" i="1"/>
  <c r="AI31" i="1"/>
  <c r="AI43" i="1"/>
  <c r="AH37" i="1"/>
  <c r="AH31" i="1"/>
  <c r="AH43" i="1"/>
  <c r="AG37" i="1"/>
  <c r="AG31" i="1"/>
  <c r="AG43" i="1"/>
  <c r="AF37" i="1"/>
  <c r="AF31" i="1"/>
  <c r="AF43" i="1"/>
  <c r="AE37" i="1"/>
  <c r="AE31" i="1"/>
  <c r="AE43" i="1"/>
  <c r="AD37" i="1"/>
  <c r="AD31" i="1"/>
  <c r="AD43" i="1"/>
  <c r="AC37" i="1"/>
  <c r="AC31" i="1"/>
  <c r="AC43" i="1"/>
  <c r="AB37" i="1"/>
  <c r="AB31" i="1"/>
  <c r="AB43" i="1"/>
  <c r="AY28" i="1"/>
  <c r="AY29" i="1"/>
  <c r="AX28" i="1"/>
  <c r="AX29" i="1"/>
  <c r="AW28" i="1"/>
  <c r="AW29" i="1"/>
  <c r="AV28" i="1"/>
  <c r="AV29" i="1"/>
  <c r="AU28" i="1"/>
  <c r="AU29" i="1"/>
  <c r="AT28" i="1"/>
  <c r="AT29" i="1"/>
  <c r="AS28" i="1"/>
  <c r="AS29" i="1"/>
  <c r="AR28" i="1"/>
  <c r="AR29" i="1"/>
  <c r="AQ28" i="1"/>
  <c r="AQ29" i="1"/>
  <c r="AP28" i="1"/>
  <c r="AP29" i="1"/>
  <c r="AO28" i="1"/>
  <c r="AO29" i="1"/>
  <c r="AN28" i="1"/>
  <c r="AN29" i="1"/>
  <c r="AM28" i="1"/>
  <c r="AM29" i="1"/>
  <c r="AL28" i="1"/>
  <c r="AL29" i="1"/>
  <c r="AK28" i="1"/>
  <c r="AK29" i="1"/>
  <c r="AJ28" i="1"/>
  <c r="AJ29" i="1"/>
  <c r="AI28" i="1"/>
  <c r="AI29" i="1"/>
  <c r="AH28" i="1"/>
  <c r="AH29" i="1"/>
  <c r="AG28" i="1"/>
  <c r="AG29" i="1"/>
  <c r="AF28" i="1"/>
  <c r="AF29" i="1"/>
  <c r="AE28" i="1"/>
  <c r="AE29" i="1"/>
  <c r="AD28" i="1"/>
  <c r="AD29" i="1"/>
  <c r="AC28" i="1"/>
  <c r="AC29" i="1"/>
  <c r="AB28" i="1"/>
  <c r="AB29" i="1"/>
  <c r="F29" i="1"/>
  <c r="AS14" i="5"/>
  <c r="AS13" i="5"/>
  <c r="AS12" i="5"/>
  <c r="AS11" i="5"/>
  <c r="AS10" i="5"/>
  <c r="AS9" i="5"/>
  <c r="AS8" i="5"/>
  <c r="AS7" i="5"/>
  <c r="AA49" i="1"/>
  <c r="AA50" i="1"/>
  <c r="AA25" i="1"/>
  <c r="AA18" i="1"/>
  <c r="AA27" i="1"/>
  <c r="AA51" i="1"/>
  <c r="Z49" i="1"/>
  <c r="Z50" i="1"/>
  <c r="Z25" i="1"/>
  <c r="Z18" i="1"/>
  <c r="Z27" i="1"/>
  <c r="Z51" i="1"/>
  <c r="Y49" i="1"/>
  <c r="Y50" i="1"/>
  <c r="Y25" i="1"/>
  <c r="Y18" i="1"/>
  <c r="Y27" i="1"/>
  <c r="Y51" i="1"/>
  <c r="X49" i="1"/>
  <c r="X50" i="1"/>
  <c r="X25" i="1"/>
  <c r="X18" i="1"/>
  <c r="X27" i="1"/>
  <c r="X51" i="1"/>
  <c r="W49" i="1"/>
  <c r="W50" i="1"/>
  <c r="W25" i="1"/>
  <c r="W18" i="1"/>
  <c r="W27" i="1"/>
  <c r="W51" i="1"/>
  <c r="V49" i="1"/>
  <c r="V50" i="1"/>
  <c r="V25" i="1"/>
  <c r="V18" i="1"/>
  <c r="V27" i="1"/>
  <c r="V51" i="1"/>
  <c r="U49" i="1"/>
  <c r="U50" i="1"/>
  <c r="U25" i="1"/>
  <c r="U18" i="1"/>
  <c r="U27" i="1"/>
  <c r="U51" i="1"/>
  <c r="T49" i="1"/>
  <c r="T50" i="1"/>
  <c r="T25" i="1"/>
  <c r="T18" i="1"/>
  <c r="T27" i="1"/>
  <c r="T51" i="1"/>
  <c r="S49" i="1"/>
  <c r="S50" i="1"/>
  <c r="S25" i="1"/>
  <c r="S18" i="1"/>
  <c r="S27" i="1"/>
  <c r="S51" i="1"/>
  <c r="R49" i="1"/>
  <c r="R50" i="1"/>
  <c r="R25" i="1"/>
  <c r="R18" i="1"/>
  <c r="R27" i="1"/>
  <c r="R51" i="1"/>
  <c r="Q49" i="1"/>
  <c r="Q50" i="1"/>
  <c r="Q25" i="1"/>
  <c r="Q18" i="1"/>
  <c r="Q27" i="1"/>
  <c r="Q51" i="1"/>
  <c r="P49" i="1"/>
  <c r="P50" i="1"/>
  <c r="P25" i="1"/>
  <c r="P18" i="1"/>
  <c r="P27" i="1"/>
  <c r="P51" i="1"/>
  <c r="AA41" i="1"/>
  <c r="AA35" i="1"/>
  <c r="AA47" i="1"/>
  <c r="Z41" i="1"/>
  <c r="Z35" i="1"/>
  <c r="Z47" i="1"/>
  <c r="Y41" i="1"/>
  <c r="Y35" i="1"/>
  <c r="Y47" i="1"/>
  <c r="X41" i="1"/>
  <c r="X35" i="1"/>
  <c r="X47" i="1"/>
  <c r="W41" i="1"/>
  <c r="W35" i="1"/>
  <c r="W47" i="1"/>
  <c r="V41" i="1"/>
  <c r="V35" i="1"/>
  <c r="V47" i="1"/>
  <c r="U41" i="1"/>
  <c r="U35" i="1"/>
  <c r="U47" i="1"/>
  <c r="T41" i="1"/>
  <c r="T35" i="1"/>
  <c r="T47" i="1"/>
  <c r="S41" i="1"/>
  <c r="S35" i="1"/>
  <c r="S47" i="1"/>
  <c r="R41" i="1"/>
  <c r="R35" i="1"/>
  <c r="R47" i="1"/>
  <c r="Q41" i="1"/>
  <c r="Q35" i="1"/>
  <c r="Q47" i="1"/>
  <c r="P41" i="1"/>
  <c r="P35" i="1"/>
  <c r="P47" i="1"/>
  <c r="AA40" i="1"/>
  <c r="AA34" i="1"/>
  <c r="AA46" i="1"/>
  <c r="Z40" i="1"/>
  <c r="Z34" i="1"/>
  <c r="Z46" i="1"/>
  <c r="Y40" i="1"/>
  <c r="Y34" i="1"/>
  <c r="Y46" i="1"/>
  <c r="X40" i="1"/>
  <c r="X34" i="1"/>
  <c r="X46" i="1"/>
  <c r="W40" i="1"/>
  <c r="W34" i="1"/>
  <c r="W46" i="1"/>
  <c r="V40" i="1"/>
  <c r="V34" i="1"/>
  <c r="V46" i="1"/>
  <c r="U40" i="1"/>
  <c r="U34" i="1"/>
  <c r="U46" i="1"/>
  <c r="T40" i="1"/>
  <c r="T34" i="1"/>
  <c r="T46" i="1"/>
  <c r="S40" i="1"/>
  <c r="S34" i="1"/>
  <c r="S46" i="1"/>
  <c r="R40" i="1"/>
  <c r="R34" i="1"/>
  <c r="R46" i="1"/>
  <c r="Q40" i="1"/>
  <c r="Q34" i="1"/>
  <c r="Q46" i="1"/>
  <c r="P40" i="1"/>
  <c r="P34" i="1"/>
  <c r="P46" i="1"/>
  <c r="AA39" i="1"/>
  <c r="AA33" i="1"/>
  <c r="AA45" i="1"/>
  <c r="Z39" i="1"/>
  <c r="Z33" i="1"/>
  <c r="Z45" i="1"/>
  <c r="Y39" i="1"/>
  <c r="Y33" i="1"/>
  <c r="Y45" i="1"/>
  <c r="X39" i="1"/>
  <c r="X33" i="1"/>
  <c r="X45" i="1"/>
  <c r="W39" i="1"/>
  <c r="W33" i="1"/>
  <c r="W45" i="1"/>
  <c r="V39" i="1"/>
  <c r="V33" i="1"/>
  <c r="V45" i="1"/>
  <c r="U39" i="1"/>
  <c r="U33" i="1"/>
  <c r="U45" i="1"/>
  <c r="T39" i="1"/>
  <c r="T33" i="1"/>
  <c r="T45" i="1"/>
  <c r="S39" i="1"/>
  <c r="S33" i="1"/>
  <c r="S45" i="1"/>
  <c r="R39" i="1"/>
  <c r="R33" i="1"/>
  <c r="R45" i="1"/>
  <c r="Q39" i="1"/>
  <c r="Q33" i="1"/>
  <c r="Q45" i="1"/>
  <c r="P39" i="1"/>
  <c r="P33" i="1"/>
  <c r="P45" i="1"/>
  <c r="AA38" i="1"/>
  <c r="AA32" i="1"/>
  <c r="AA44" i="1"/>
  <c r="Z38" i="1"/>
  <c r="Z32" i="1"/>
  <c r="Z44" i="1"/>
  <c r="Y38" i="1"/>
  <c r="Y32" i="1"/>
  <c r="Y44" i="1"/>
  <c r="X38" i="1"/>
  <c r="X32" i="1"/>
  <c r="X44" i="1"/>
  <c r="W38" i="1"/>
  <c r="W32" i="1"/>
  <c r="W44" i="1"/>
  <c r="V38" i="1"/>
  <c r="V32" i="1"/>
  <c r="V44" i="1"/>
  <c r="U38" i="1"/>
  <c r="U32" i="1"/>
  <c r="U44" i="1"/>
  <c r="T38" i="1"/>
  <c r="T32" i="1"/>
  <c r="T44" i="1"/>
  <c r="S38" i="1"/>
  <c r="S32" i="1"/>
  <c r="S44" i="1"/>
  <c r="R38" i="1"/>
  <c r="R32" i="1"/>
  <c r="R44" i="1"/>
  <c r="Q38" i="1"/>
  <c r="Q32" i="1"/>
  <c r="Q44" i="1"/>
  <c r="P38" i="1"/>
  <c r="P32" i="1"/>
  <c r="P44" i="1"/>
  <c r="AA37" i="1"/>
  <c r="AA31" i="1"/>
  <c r="AA43" i="1"/>
  <c r="Z37" i="1"/>
  <c r="Z31" i="1"/>
  <c r="Z43" i="1"/>
  <c r="Y37" i="1"/>
  <c r="Y31" i="1"/>
  <c r="Y43" i="1"/>
  <c r="X37" i="1"/>
  <c r="X31" i="1"/>
  <c r="X43" i="1"/>
  <c r="W37" i="1"/>
  <c r="W31" i="1"/>
  <c r="W43" i="1"/>
  <c r="V37" i="1"/>
  <c r="V31" i="1"/>
  <c r="V43" i="1"/>
  <c r="U37" i="1"/>
  <c r="U31" i="1"/>
  <c r="U43" i="1"/>
  <c r="T37" i="1"/>
  <c r="T31" i="1"/>
  <c r="T43" i="1"/>
  <c r="S37" i="1"/>
  <c r="S31" i="1"/>
  <c r="S43" i="1"/>
  <c r="R37" i="1"/>
  <c r="R31" i="1"/>
  <c r="R43" i="1"/>
  <c r="Q37" i="1"/>
  <c r="Q31" i="1"/>
  <c r="Q43" i="1"/>
  <c r="P37" i="1"/>
  <c r="P31" i="1"/>
  <c r="P43" i="1"/>
  <c r="AA28" i="1"/>
  <c r="AA29" i="1"/>
  <c r="Z28" i="1"/>
  <c r="Z29" i="1"/>
  <c r="Y28" i="1"/>
  <c r="Y29" i="1"/>
  <c r="X28" i="1"/>
  <c r="X29" i="1"/>
  <c r="W28" i="1"/>
  <c r="W29" i="1"/>
  <c r="V28" i="1"/>
  <c r="V29" i="1"/>
  <c r="U28" i="1"/>
  <c r="U29" i="1"/>
  <c r="T28" i="1"/>
  <c r="T29" i="1"/>
  <c r="S28" i="1"/>
  <c r="S29" i="1"/>
  <c r="R28" i="1"/>
  <c r="R29" i="1"/>
  <c r="Q28" i="1"/>
  <c r="Q29" i="1"/>
  <c r="P28" i="1"/>
  <c r="P29" i="1"/>
  <c r="O49" i="1"/>
  <c r="O50" i="1"/>
  <c r="O25" i="1"/>
  <c r="O18" i="1"/>
  <c r="O27" i="1"/>
  <c r="O51" i="1"/>
  <c r="N49" i="1"/>
  <c r="N50" i="1"/>
  <c r="N25" i="1"/>
  <c r="N18" i="1"/>
  <c r="N27" i="1"/>
  <c r="N51" i="1"/>
  <c r="O41" i="1"/>
  <c r="O35" i="1"/>
  <c r="O47" i="1"/>
  <c r="N41" i="1"/>
  <c r="N35" i="1"/>
  <c r="N47" i="1"/>
  <c r="O40" i="1"/>
  <c r="O34" i="1"/>
  <c r="O46" i="1"/>
  <c r="N40" i="1"/>
  <c r="N34" i="1"/>
  <c r="N46" i="1"/>
  <c r="O39" i="1"/>
  <c r="O33" i="1"/>
  <c r="O45" i="1"/>
  <c r="N39" i="1"/>
  <c r="N33" i="1"/>
  <c r="N45" i="1"/>
  <c r="O38" i="1"/>
  <c r="O32" i="1"/>
  <c r="O44" i="1"/>
  <c r="N38" i="1"/>
  <c r="N32" i="1"/>
  <c r="N44" i="1"/>
  <c r="O37" i="1"/>
  <c r="O31" i="1"/>
  <c r="O43" i="1"/>
  <c r="N37" i="1"/>
  <c r="N31" i="1"/>
  <c r="N43" i="1"/>
  <c r="O28" i="1"/>
  <c r="O29" i="1"/>
  <c r="N28" i="1"/>
  <c r="N29" i="1"/>
  <c r="C37" i="1"/>
  <c r="C38" i="1"/>
  <c r="C39" i="1"/>
  <c r="C40" i="1"/>
  <c r="C41" i="1"/>
  <c r="B38" i="1"/>
  <c r="B39" i="1"/>
  <c r="B40" i="1"/>
  <c r="B41" i="1"/>
  <c r="B37" i="1"/>
  <c r="D65" i="6"/>
  <c r="D67" i="6"/>
  <c r="D68" i="6"/>
  <c r="B69" i="6"/>
  <c r="B58" i="6"/>
  <c r="D57" i="6"/>
  <c r="E57" i="6"/>
  <c r="F57" i="6"/>
  <c r="G57" i="6"/>
  <c r="H57" i="6"/>
  <c r="H56" i="6"/>
  <c r="C56" i="6"/>
  <c r="D56" i="6"/>
  <c r="E56" i="6"/>
  <c r="F56" i="6"/>
  <c r="C55" i="6"/>
  <c r="D55" i="6"/>
  <c r="E55" i="6"/>
  <c r="F55" i="6"/>
  <c r="G55" i="6"/>
  <c r="H55" i="6"/>
  <c r="D46" i="6"/>
  <c r="C46" i="6"/>
  <c r="D54" i="6"/>
  <c r="E54" i="6"/>
  <c r="F54" i="6"/>
  <c r="G54" i="6"/>
  <c r="H54" i="6"/>
  <c r="C45" i="6"/>
  <c r="D45" i="6"/>
  <c r="B45" i="6"/>
  <c r="C53" i="6"/>
  <c r="D53" i="6"/>
  <c r="B44" i="6"/>
  <c r="D44" i="6"/>
  <c r="B43" i="6"/>
  <c r="D43" i="6"/>
  <c r="C42" i="6"/>
  <c r="D42" i="6"/>
  <c r="B42" i="6"/>
  <c r="W39" i="6"/>
  <c r="V39" i="6"/>
  <c r="U39" i="6"/>
  <c r="Q39" i="6"/>
  <c r="L39" i="6"/>
  <c r="K39" i="6"/>
  <c r="M39" i="6"/>
  <c r="W38" i="6"/>
  <c r="V38" i="6"/>
  <c r="U38" i="6"/>
  <c r="Q38" i="6"/>
  <c r="M38" i="6"/>
  <c r="U37" i="6"/>
  <c r="Q37" i="6"/>
  <c r="M37" i="6"/>
  <c r="V36" i="6"/>
  <c r="U36" i="6"/>
  <c r="Q36" i="6"/>
  <c r="M36" i="6"/>
  <c r="W35" i="6"/>
  <c r="V35" i="6"/>
  <c r="U35" i="6"/>
  <c r="P35" i="6"/>
  <c r="Q35" i="6"/>
  <c r="M35" i="6"/>
  <c r="G29" i="6"/>
  <c r="D29" i="6"/>
  <c r="G28" i="6"/>
  <c r="D28" i="6"/>
  <c r="G27" i="6"/>
  <c r="D27" i="6"/>
  <c r="G26" i="6"/>
  <c r="D26" i="6"/>
  <c r="G25" i="6"/>
  <c r="D25" i="6"/>
  <c r="M20" i="6"/>
  <c r="I20" i="6"/>
  <c r="H20" i="6"/>
  <c r="G20" i="6"/>
  <c r="J19" i="6"/>
  <c r="M19" i="6"/>
  <c r="I19" i="6"/>
  <c r="H19" i="6"/>
  <c r="G19" i="6"/>
  <c r="M18" i="6"/>
  <c r="I18" i="6"/>
  <c r="H18" i="6"/>
  <c r="G18" i="6"/>
  <c r="L17" i="6"/>
  <c r="J17" i="6"/>
  <c r="M17" i="6"/>
  <c r="I17" i="6"/>
  <c r="H17" i="6"/>
  <c r="G17" i="6"/>
  <c r="L16" i="6"/>
  <c r="K16" i="6"/>
  <c r="J16" i="6"/>
  <c r="M16" i="6"/>
  <c r="I16" i="6"/>
  <c r="H16" i="6"/>
  <c r="G16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C58" i="6"/>
  <c r="AR7" i="5"/>
  <c r="AR8" i="5"/>
  <c r="AT8" i="5"/>
  <c r="AR9" i="5"/>
  <c r="AT9" i="5"/>
  <c r="AR10" i="5"/>
  <c r="AR11" i="5"/>
  <c r="AR12" i="5"/>
  <c r="AT12" i="5"/>
  <c r="AR13" i="5"/>
  <c r="AR14" i="5"/>
  <c r="AT7" i="5"/>
  <c r="AT13" i="5"/>
  <c r="AT11" i="5"/>
  <c r="AT10" i="5"/>
  <c r="AT14" i="5"/>
  <c r="L25" i="1"/>
  <c r="L28" i="1"/>
  <c r="L18" i="1"/>
  <c r="L27" i="1"/>
  <c r="L29" i="1"/>
  <c r="I40" i="1"/>
  <c r="I34" i="1"/>
  <c r="I46" i="1"/>
  <c r="D18" i="1"/>
  <c r="E18" i="1"/>
  <c r="E25" i="1"/>
  <c r="E27" i="1"/>
  <c r="F18" i="1"/>
  <c r="G18" i="1"/>
  <c r="H18" i="1"/>
  <c r="I18" i="1"/>
  <c r="J18" i="1"/>
  <c r="K18" i="1"/>
  <c r="M18" i="1"/>
  <c r="M25" i="1"/>
  <c r="M27" i="1"/>
  <c r="D25" i="1"/>
  <c r="D28" i="1"/>
  <c r="D27" i="1"/>
  <c r="D29" i="1"/>
  <c r="E28" i="1"/>
  <c r="F25" i="1"/>
  <c r="F28" i="1"/>
  <c r="F27" i="1"/>
  <c r="G25" i="1"/>
  <c r="G27" i="1"/>
  <c r="H25" i="1"/>
  <c r="I25" i="1"/>
  <c r="I27" i="1"/>
  <c r="J25" i="1"/>
  <c r="J28" i="1"/>
  <c r="J27" i="1"/>
  <c r="J29" i="1"/>
  <c r="K25" i="1"/>
  <c r="K27" i="1"/>
  <c r="K49" i="1"/>
  <c r="K50" i="1"/>
  <c r="K51" i="1"/>
  <c r="K28" i="1"/>
  <c r="M28" i="1"/>
  <c r="M29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J39" i="1"/>
  <c r="J45" i="1"/>
  <c r="K33" i="1"/>
  <c r="L33" i="1"/>
  <c r="M33" i="1"/>
  <c r="D34" i="1"/>
  <c r="E34" i="1"/>
  <c r="E40" i="1"/>
  <c r="F34" i="1"/>
  <c r="G34" i="1"/>
  <c r="G40" i="1"/>
  <c r="G46" i="1"/>
  <c r="H34" i="1"/>
  <c r="H40" i="1"/>
  <c r="J34" i="1"/>
  <c r="K34" i="1"/>
  <c r="L34" i="1"/>
  <c r="M34" i="1"/>
  <c r="M40" i="1"/>
  <c r="M46" i="1"/>
  <c r="D35" i="1"/>
  <c r="E35" i="1"/>
  <c r="F35" i="1"/>
  <c r="G35" i="1"/>
  <c r="G41" i="1"/>
  <c r="G47" i="1"/>
  <c r="H35" i="1"/>
  <c r="I35" i="1"/>
  <c r="J35" i="1"/>
  <c r="J41" i="1"/>
  <c r="J47" i="1"/>
  <c r="K35" i="1"/>
  <c r="L35" i="1"/>
  <c r="M35" i="1"/>
  <c r="M41" i="1"/>
  <c r="M47" i="1"/>
  <c r="D37" i="1"/>
  <c r="E37" i="1"/>
  <c r="E43" i="1"/>
  <c r="F37" i="1"/>
  <c r="G37" i="1"/>
  <c r="G43" i="1"/>
  <c r="H37" i="1"/>
  <c r="H43" i="1"/>
  <c r="I37" i="1"/>
  <c r="I43" i="1"/>
  <c r="J37" i="1"/>
  <c r="K37" i="1"/>
  <c r="K43" i="1"/>
  <c r="L37" i="1"/>
  <c r="L43" i="1"/>
  <c r="M37" i="1"/>
  <c r="D38" i="1"/>
  <c r="E38" i="1"/>
  <c r="E44" i="1"/>
  <c r="F38" i="1"/>
  <c r="G38" i="1"/>
  <c r="G44" i="1"/>
  <c r="H38" i="1"/>
  <c r="H44" i="1"/>
  <c r="I38" i="1"/>
  <c r="I44" i="1"/>
  <c r="J38" i="1"/>
  <c r="K38" i="1"/>
  <c r="K44" i="1"/>
  <c r="L38" i="1"/>
  <c r="M38" i="1"/>
  <c r="M44" i="1"/>
  <c r="D39" i="1"/>
  <c r="D45" i="1"/>
  <c r="E39" i="1"/>
  <c r="E45" i="1"/>
  <c r="F39" i="1"/>
  <c r="F45" i="1"/>
  <c r="G39" i="1"/>
  <c r="G45" i="1"/>
  <c r="H39" i="1"/>
  <c r="I39" i="1"/>
  <c r="I45" i="1"/>
  <c r="K39" i="1"/>
  <c r="K45" i="1"/>
  <c r="L39" i="1"/>
  <c r="M39" i="1"/>
  <c r="M45" i="1"/>
  <c r="D40" i="1"/>
  <c r="D46" i="1"/>
  <c r="F40" i="1"/>
  <c r="J40" i="1"/>
  <c r="K40" i="1"/>
  <c r="L40" i="1"/>
  <c r="L46" i="1"/>
  <c r="D41" i="1"/>
  <c r="E41" i="1"/>
  <c r="E47" i="1"/>
  <c r="F41" i="1"/>
  <c r="H41" i="1"/>
  <c r="H47" i="1"/>
  <c r="I41" i="1"/>
  <c r="K41" i="1"/>
  <c r="K47" i="1"/>
  <c r="L41" i="1"/>
  <c r="D49" i="1"/>
  <c r="E49" i="1"/>
  <c r="F49" i="1"/>
  <c r="F50" i="1"/>
  <c r="F51" i="1"/>
  <c r="G49" i="1"/>
  <c r="H49" i="1"/>
  <c r="I49" i="1"/>
  <c r="I50" i="1"/>
  <c r="I51" i="1"/>
  <c r="J49" i="1"/>
  <c r="L49" i="1"/>
  <c r="M49" i="1"/>
  <c r="M50" i="1"/>
  <c r="M51" i="1"/>
  <c r="D50" i="1"/>
  <c r="D51" i="1"/>
  <c r="E50" i="1"/>
  <c r="G50" i="1"/>
  <c r="G51" i="1"/>
  <c r="H50" i="1"/>
  <c r="J50" i="1"/>
  <c r="L50" i="1"/>
  <c r="H46" i="1"/>
  <c r="L45" i="1"/>
  <c r="M43" i="1"/>
  <c r="K46" i="1"/>
  <c r="F43" i="1"/>
  <c r="I47" i="1"/>
  <c r="D47" i="1"/>
  <c r="L44" i="1"/>
  <c r="H45" i="1"/>
  <c r="J44" i="1"/>
  <c r="F47" i="1"/>
  <c r="F46" i="1"/>
  <c r="F44" i="1"/>
  <c r="D43" i="1"/>
  <c r="D44" i="1"/>
  <c r="L47" i="1"/>
  <c r="H27" i="1"/>
  <c r="H51" i="1"/>
  <c r="J51" i="1"/>
  <c r="J46" i="1"/>
  <c r="E46" i="1"/>
  <c r="J43" i="1"/>
  <c r="H28" i="1"/>
  <c r="L51" i="1"/>
  <c r="D58" i="6"/>
  <c r="E53" i="6"/>
  <c r="E29" i="1"/>
  <c r="E51" i="1"/>
  <c r="K29" i="1"/>
  <c r="I28" i="1"/>
  <c r="I29" i="1"/>
  <c r="H29" i="1"/>
  <c r="G28" i="1"/>
  <c r="G29" i="1"/>
  <c r="F53" i="6"/>
  <c r="E58" i="6"/>
  <c r="G53" i="6"/>
  <c r="F58" i="6"/>
  <c r="G58" i="6"/>
  <c r="H5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Bilal</author>
  </authors>
  <commentList>
    <comment ref="G15" authorId="0" shapeId="0" xr:uid="{5F498234-5906-431C-9B28-7396403D51D4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  <comment ref="G24" authorId="0" shapeId="0" xr:uid="{05123366-0B96-4CB3-8046-36BF7A672AA6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  <comment ref="G33" authorId="0" shapeId="0" xr:uid="{D05D0877-37CA-4A2E-AEC0-C1D7A9FE6D49}">
      <text>
        <r>
          <rPr>
            <b/>
            <sz val="9"/>
            <color indexed="81"/>
            <rFont val="Tahoma"/>
            <family val="2"/>
          </rPr>
          <t>Bilal:</t>
        </r>
        <r>
          <rPr>
            <sz val="9"/>
            <color indexed="81"/>
            <rFont val="Tahoma"/>
            <family val="2"/>
          </rPr>
          <t xml:space="preserve">
Changes on the ATV since June '17: Fixed the 3rd pitot tube that was not installed, and added battery brackets for the electronics battery</t>
        </r>
      </text>
    </comment>
  </commentList>
</comments>
</file>

<file path=xl/sharedStrings.xml><?xml version="1.0" encoding="utf-8"?>
<sst xmlns="http://schemas.openxmlformats.org/spreadsheetml/2006/main" count="342" uniqueCount="222">
  <si>
    <t>Configuration:</t>
  </si>
  <si>
    <t>Notes on Configuration:</t>
  </si>
  <si>
    <t>ATV MAY 18</t>
  </si>
  <si>
    <t>RRV MAY 18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</si>
  <si>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</si>
  <si>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</si>
  <si>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</si>
  <si>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</si>
  <si>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</si>
  <si>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</si>
  <si>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</si>
  <si>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</si>
  <si>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</si>
  <si>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</si>
  <si>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spine 3</t>
  </si>
  <si>
    <t>spine 1</t>
  </si>
  <si>
    <t>spine 0</t>
  </si>
  <si>
    <t>spine 2</t>
  </si>
  <si>
    <t>spine 4</t>
  </si>
  <si>
    <t>Balance 1 - #3 Front</t>
  </si>
  <si>
    <t>Balance 2 - #1 Front</t>
  </si>
  <si>
    <t>Balance 3 - #0 Front</t>
  </si>
  <si>
    <t>Balance 4 - #2 Front</t>
  </si>
  <si>
    <t>Balance 5 - #4 Front</t>
  </si>
  <si>
    <t>SubTotal (1-5)(g)</t>
  </si>
  <si>
    <t>Balance 6 - # 3 Rear</t>
  </si>
  <si>
    <t>Balance 7 - #1 Rear</t>
  </si>
  <si>
    <t>Balance 8 - #0 Rear</t>
  </si>
  <si>
    <t>Balance 9 - #2 Rear</t>
  </si>
  <si>
    <t>Balance 10 - #4 Rear</t>
  </si>
  <si>
    <t>SubTotal(6-10)(g)</t>
  </si>
  <si>
    <t>TotalMass(g)</t>
  </si>
  <si>
    <t>TotalMoment (g-cm)</t>
  </si>
  <si>
    <t>CG (% of chord)</t>
  </si>
  <si>
    <t>Weight S3</t>
  </si>
  <si>
    <t>Weight S1</t>
  </si>
  <si>
    <t>Weight S0</t>
  </si>
  <si>
    <t>Weight S2</t>
  </si>
  <si>
    <t>Weight S4</t>
  </si>
  <si>
    <t>Moment S3 (g-cm)</t>
  </si>
  <si>
    <t>Moment S1 (g-cm)</t>
  </si>
  <si>
    <t>Moment S0 (g-cm)</t>
  </si>
  <si>
    <t>Moment S2 (g-cm)</t>
  </si>
  <si>
    <t>Moment S4 (g-cm)</t>
  </si>
  <si>
    <t>Xcg S3 (%)</t>
  </si>
  <si>
    <t>Xcg S1 (%)</t>
  </si>
  <si>
    <t>Xcg S0 (%)</t>
  </si>
  <si>
    <t>Xcg S2 (%)</t>
  </si>
  <si>
    <t>Xcg S4 (%)</t>
  </si>
  <si>
    <t>Y moment front</t>
  </si>
  <si>
    <t>Y moment rear</t>
  </si>
  <si>
    <t>Net YCG</t>
  </si>
  <si>
    <t>RRV Initial Apr 2019</t>
  </si>
  <si>
    <t>ATV</t>
  </si>
  <si>
    <t>% Diff</t>
  </si>
  <si>
    <t>Mass [g]</t>
  </si>
  <si>
    <t>XCG</t>
  </si>
  <si>
    <t>YCG</t>
  </si>
  <si>
    <t>Spine 3</t>
  </si>
  <si>
    <t>Spine 1</t>
  </si>
  <si>
    <t>Spine 0</t>
  </si>
  <si>
    <t>Spine 2</t>
  </si>
  <si>
    <t>Spine 4</t>
  </si>
  <si>
    <t>Observations : Bilal</t>
  </si>
  <si>
    <t>Scale #</t>
  </si>
  <si>
    <t>Comments about slope</t>
  </si>
  <si>
    <t>After Fix</t>
  </si>
  <si>
    <t>Spine</t>
  </si>
  <si>
    <t>Front</t>
  </si>
  <si>
    <t>Rear</t>
  </si>
  <si>
    <t>Front and Rear (chordwise)</t>
  </si>
  <si>
    <t>Adjacent Station (spanwise)</t>
  </si>
  <si>
    <t>Spine 3 and 1</t>
  </si>
  <si>
    <t>Spine 1 and 0</t>
  </si>
  <si>
    <t>Spine 0 and 2</t>
  </si>
  <si>
    <t>Spine 2 and 4</t>
  </si>
  <si>
    <t>Tilts towards rear</t>
  </si>
  <si>
    <t>Flat Front and Rear </t>
  </si>
  <si>
    <t>Level</t>
  </si>
  <si>
    <t>Tilts towards spine 1 in the front, flat in rear </t>
  </si>
  <si>
    <t>Flat Front and Rear between </t>
  </si>
  <si>
    <t>Tilts towards rear less severe than first 3</t>
  </si>
  <si>
    <t>Tilts towards spine 4 both front and rear</t>
  </si>
  <si>
    <t xml:space="preserve">Tilts towards rear least severe </t>
  </si>
  <si>
    <t>Observations : Jack</t>
  </si>
  <si>
    <t xml:space="preserve">Comments about slope after washers </t>
  </si>
  <si>
    <t>Front and Rear</t>
  </si>
  <si>
    <t>Adjacent Station</t>
  </si>
  <si>
    <t>slightly tilts towards front after washers</t>
  </si>
  <si>
    <t>level front and rear after washers</t>
  </si>
  <si>
    <t>level after washers</t>
  </si>
  <si>
    <t>slightly tilts towards rear after washers</t>
  </si>
  <si>
    <t>level</t>
  </si>
  <si>
    <t>Comments/Questions about washers</t>
  </si>
  <si>
    <t>Response</t>
  </si>
  <si>
    <t>Do we want center of scales to be flatest, even if it makes the edges not as flat?</t>
  </si>
  <si>
    <t>No, since the scales themselves have a natural slope</t>
  </si>
  <si>
    <t>Does an individual scale have to be level throughout? (if you add one washer, do you need to do the same for the other 3 corners of the scale?</t>
  </si>
  <si>
    <t>Yes, otherwise it'll wobble</t>
  </si>
  <si>
    <t>make sure wires are not under corners of scale</t>
  </si>
  <si>
    <t>Of course</t>
  </si>
  <si>
    <t xml:space="preserve"> 20/10/17 </t>
  </si>
  <si>
    <t>Holes are referenced from the end of the ballast plate</t>
  </si>
  <si>
    <t>Spine #</t>
  </si>
  <si>
    <t>Current Ballast Mass Setup</t>
  </si>
  <si>
    <t>mass attached to holes</t>
  </si>
  <si>
    <t xml:space="preserve"> preadjRRV cg%</t>
  </si>
  <si>
    <t>adjustment1</t>
  </si>
  <si>
    <t>adjustment 2</t>
  </si>
  <si>
    <t>ATV%</t>
  </si>
  <si>
    <t>adj. RRVcg %</t>
  </si>
  <si>
    <t>initial</t>
  </si>
  <si>
    <t>115g plate + 137.4 mass</t>
  </si>
  <si>
    <t>6th and 6th from rear</t>
  </si>
  <si>
    <t>none</t>
  </si>
  <si>
    <t>115g plate + 140g mass + 20g plate</t>
  </si>
  <si>
    <t>4 and 3rd from rear</t>
  </si>
  <si>
    <t>took off 20g plate, shifted both screws back by one</t>
  </si>
  <si>
    <t>965g- 3 plates (top plate 272.8g)</t>
  </si>
  <si>
    <t>2 and 2nd from rear</t>
  </si>
  <si>
    <t>removed 25g from each camera</t>
  </si>
  <si>
    <t>take off ballast mass (272.8g) and swap wi spine 2(120g)</t>
  </si>
  <si>
    <t>115g plate + 120g mass</t>
  </si>
  <si>
    <t>shifted both screws forward by one</t>
  </si>
  <si>
    <t>take off 120g ballast mass and swap with 272.8 from spine0</t>
  </si>
  <si>
    <t>115g plate + 139.1g mass</t>
  </si>
  <si>
    <t>shifted both screws back by 2</t>
  </si>
  <si>
    <t>02/28/18</t>
  </si>
  <si>
    <t>mass in grams</t>
  </si>
  <si>
    <t>Ballast Mass Setup</t>
  </si>
  <si>
    <t>predadjRRV cg%</t>
  </si>
  <si>
    <t>ATV %</t>
  </si>
  <si>
    <t>adj2 %</t>
  </si>
  <si>
    <t>removed</t>
  </si>
  <si>
    <t>added</t>
  </si>
  <si>
    <t>final</t>
  </si>
  <si>
    <t>Remarks</t>
  </si>
  <si>
    <t>removed gopro(201.1g) and 137.4g , added 210.5g</t>
  </si>
  <si>
    <t>GoPro connectedd to holes 4,1 and 4,4 w/mass incl. attachment of 201.1g</t>
  </si>
  <si>
    <t xml:space="preserve">115g plate + 140g mass </t>
  </si>
  <si>
    <t>3rd and 2nd from rear</t>
  </si>
  <si>
    <t>removed 140.9,(added 225.3g mass +40.1g plate)</t>
  </si>
  <si>
    <t>mass connected at 1,1 and 2,2 on 40g plate, 40g plate at 1,1 &amp; 1,3</t>
  </si>
  <si>
    <t>812.2g- 3 plates (top plate 120g)</t>
  </si>
  <si>
    <t>swapped 120g plate with 272.8g from #2</t>
  </si>
  <si>
    <t>115g plate + 272.8g mass</t>
  </si>
  <si>
    <t>3rd and 3rd from rear</t>
  </si>
  <si>
    <t>swapped 272.8g plate with 120g from #0</t>
  </si>
  <si>
    <t>mass connected at 1,2 and 1,4</t>
  </si>
  <si>
    <t>4th and 4th from rear</t>
  </si>
  <si>
    <t>removed gopro 199.8, and added 190.7</t>
  </si>
  <si>
    <t>mass added at 8,2 and 10,4 other mass is at 4,1 and 4,5</t>
  </si>
  <si>
    <t>GoPro connectedd to holes 4,1 and 4,4 w/mass incl. attachment of 199.8g</t>
  </si>
  <si>
    <t>03/15/18</t>
  </si>
  <si>
    <t>114g plate + 210.5g mass =324.5g</t>
  </si>
  <si>
    <t>115g plate+ 40g plate+ 225.3g mass</t>
  </si>
  <si>
    <t>mass 1,1 and 2,2, plate at 1,1 and 1,3</t>
  </si>
  <si>
    <t>replaced 225.3 g mass with 219g, with higher rear bias</t>
  </si>
  <si>
    <t>60g plate + 905g masses =965g</t>
  </si>
  <si>
    <t>moved mass to 1,5 and 2,5 (3 positions forward)</t>
  </si>
  <si>
    <t>115g plate + 120g mass = 235g</t>
  </si>
  <si>
    <t>1,2 and 1,4</t>
  </si>
  <si>
    <t>115g plate + 190.7+139.1g mass = 448.4g</t>
  </si>
  <si>
    <t>both masses attached at 4,1 and 4,5</t>
  </si>
  <si>
    <t>mass in grams adj1</t>
  </si>
  <si>
    <t>mass in grams adj 2</t>
  </si>
  <si>
    <t>mass in grams adj 3</t>
  </si>
  <si>
    <t>9,1 and 9,5</t>
  </si>
  <si>
    <t>mass moved to 10,1 and 10,5</t>
  </si>
  <si>
    <t xml:space="preserve">114g plate + 36.8g plate + 139.1g mass at at 3,2 and 6,2 </t>
  </si>
  <si>
    <t>115g plate + 224g mass + 40g plate</t>
  </si>
  <si>
    <t>mass at 1,1 and 2,2, plate at 1,1 and 1,3</t>
  </si>
  <si>
    <t>moved mass and 40g plate back to under the rear wheel</t>
  </si>
  <si>
    <t>5,1 and 5,2</t>
  </si>
  <si>
    <t xml:space="preserve">swap 272.8 g with 120 from #2, 120 g attached at 12,1 and 12,2 </t>
  </si>
  <si>
    <t>swapped 120g mass with 272.5g from #0, 272.8 attached at 7,2 and 8,5</t>
  </si>
  <si>
    <t>4,1 and 4,5</t>
  </si>
  <si>
    <t>removed 190.7 and 139.1, added 219.3+50.4</t>
  </si>
  <si>
    <t>Foam Mass (g)</t>
  </si>
  <si>
    <t>current ballast mass (g)</t>
  </si>
  <si>
    <t>allowable ballast mass (g)</t>
  </si>
  <si>
    <t>Post crash 07/21/18 mass foam+ballast</t>
  </si>
  <si>
    <t>0R+L</t>
  </si>
  <si>
    <t>Summer 19 Flight Tests Configuration 1: No Foam</t>
  </si>
  <si>
    <t>Ballast Mass [g]</t>
  </si>
  <si>
    <t>change1</t>
  </si>
  <si>
    <t>change2</t>
  </si>
  <si>
    <t>change3</t>
  </si>
  <si>
    <t>change4</t>
  </si>
  <si>
    <t>change5</t>
  </si>
  <si>
    <t>position of ballast mass wrt plate</t>
  </si>
  <si>
    <t>all the way back</t>
  </si>
  <si>
    <t>near the front</t>
  </si>
  <si>
    <t>middle</t>
  </si>
  <si>
    <t>SUM</t>
  </si>
  <si>
    <t>Summer 19 Flight Tests Configuration 2: w/ Foam Blocks</t>
  </si>
  <si>
    <t>Allowable ballast mass</t>
  </si>
  <si>
    <t>Change from Conf 1 to Conf 2</t>
  </si>
  <si>
    <t>Additional Notes</t>
  </si>
  <si>
    <t>N/A</t>
  </si>
  <si>
    <t>Trimmed mass off of aluminum plate and foam blocks, added 10.7 g of washers to compensate</t>
  </si>
  <si>
    <t>Did not change any steel plates</t>
  </si>
  <si>
    <t>replaced 142.2 and 221.9 g mass with 272.9 g plate and 4 washers</t>
  </si>
  <si>
    <t>Did not replace any mass, just added foam</t>
  </si>
  <si>
    <t>. Could not fit all of the foam originally planned due to problems with instrument access</t>
  </si>
  <si>
    <t>Remove 270.6 g plate and replace with 218.6 g square plate</t>
  </si>
  <si>
    <t>Remove 50.4 g plate, but 32.6g of washers on bolts, put foam through bolts</t>
  </si>
  <si>
    <t>Need to take out battery to switch</t>
  </si>
  <si>
    <t>ATV 2023</t>
  </si>
  <si>
    <t>2/13/2023 Thiago V</t>
  </si>
  <si>
    <t>RUN 11</t>
  </si>
  <si>
    <t>RUN 12</t>
  </si>
  <si>
    <t>2/14/2023 Ana</t>
  </si>
  <si>
    <t>10 data points collected in the current configuration</t>
  </si>
  <si>
    <t>Initial tests with the ATV</t>
  </si>
  <si>
    <t>ATV Feb. 2023 w/Thiago V</t>
  </si>
  <si>
    <t>ATV Feb. 2023 w/Ana M</t>
  </si>
  <si>
    <t>ATV May 2018</t>
  </si>
  <si>
    <t>ATV Feb 2023</t>
  </si>
  <si>
    <t>Initial tests with the RRV</t>
  </si>
  <si>
    <t>RRV 2023</t>
  </si>
  <si>
    <t>10/12/2023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</si>
</sst>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6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Times New Roman"/>
      <family val="1"/>
    </font>
    <font>
      <sz val="16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9" borderId="0" applyNumberFormat="0" applyBorder="0" applyAlignment="0" applyProtection="0"/>
  </cellStyleXfs>
  <cellXfs count="241">
    <xf numFmtId="0" fontId="0" fillId="0" borderId="0" xfId="0"/>
    <xf numFmtId="0" fontId="0" fillId="0" borderId="3" xfId="0" applyBorder="1" applyAlignment="1">
      <alignment horizontal="center"/>
    </xf>
    <xf numFmtId="164" fontId="3" fillId="3" borderId="5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top" wrapText="1"/>
    </xf>
    <xf numFmtId="164" fontId="7" fillId="3" borderId="5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/>
    <xf numFmtId="164" fontId="3" fillId="3" borderId="11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top" wrapText="1"/>
    </xf>
    <xf numFmtId="164" fontId="3" fillId="3" borderId="17" xfId="0" applyNumberFormat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2" fontId="0" fillId="0" borderId="5" xfId="0" applyNumberFormat="1" applyBorder="1" applyAlignment="1">
      <alignment horizontal="center"/>
    </xf>
    <xf numFmtId="2" fontId="3" fillId="0" borderId="18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3" borderId="18" xfId="0" applyNumberFormat="1" applyFont="1" applyFill="1" applyBorder="1" applyAlignment="1">
      <alignment horizontal="center" vertical="center" wrapText="1"/>
    </xf>
    <xf numFmtId="164" fontId="3" fillId="3" borderId="19" xfId="0" applyNumberFormat="1" applyFont="1" applyFill="1" applyBorder="1" applyAlignment="1">
      <alignment horizontal="center" vertical="center" wrapText="1"/>
    </xf>
    <xf numFmtId="164" fontId="3" fillId="3" borderId="20" xfId="0" applyNumberFormat="1" applyFont="1" applyFill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2" fontId="3" fillId="0" borderId="12" xfId="0" applyNumberFormat="1" applyFont="1" applyBorder="1" applyAlignment="1">
      <alignment horizontal="center" vertical="center" wrapText="1"/>
    </xf>
    <xf numFmtId="164" fontId="13" fillId="0" borderId="12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21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5" fontId="14" fillId="0" borderId="12" xfId="0" applyNumberFormat="1" applyFont="1" applyBorder="1" applyAlignment="1">
      <alignment horizontal="center" vertical="center" wrapText="1"/>
    </xf>
    <xf numFmtId="165" fontId="15" fillId="7" borderId="12" xfId="0" applyNumberFormat="1" applyFont="1" applyFill="1" applyBorder="1" applyAlignment="1">
      <alignment horizontal="center" vertical="center" wrapText="1"/>
    </xf>
    <xf numFmtId="165" fontId="15" fillId="7" borderId="5" xfId="0" applyNumberFormat="1" applyFont="1" applyFill="1" applyBorder="1" applyAlignment="1">
      <alignment horizontal="center" vertical="center" wrapText="1"/>
    </xf>
    <xf numFmtId="165" fontId="15" fillId="7" borderId="21" xfId="0" applyNumberFormat="1" applyFont="1" applyFill="1" applyBorder="1" applyAlignment="1">
      <alignment horizontal="center" vertical="center" wrapText="1"/>
    </xf>
    <xf numFmtId="165" fontId="5" fillId="7" borderId="12" xfId="0" applyNumberFormat="1" applyFont="1" applyFill="1" applyBorder="1" applyAlignment="1">
      <alignment horizontal="center" vertical="center" wrapText="1"/>
    </xf>
    <xf numFmtId="165" fontId="5" fillId="7" borderId="5" xfId="0" applyNumberFormat="1" applyFont="1" applyFill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11" fillId="0" borderId="13" xfId="1" applyNumberFormat="1" applyFont="1" applyBorder="1" applyAlignment="1">
      <alignment horizontal="center"/>
    </xf>
    <xf numFmtId="2" fontId="12" fillId="8" borderId="13" xfId="1" applyNumberFormat="1" applyFont="1" applyFill="1" applyBorder="1" applyAlignment="1">
      <alignment horizontal="center"/>
    </xf>
    <xf numFmtId="2" fontId="12" fillId="8" borderId="22" xfId="1" applyNumberFormat="1" applyFont="1" applyFill="1" applyBorder="1" applyAlignment="1">
      <alignment horizontal="center"/>
    </xf>
    <xf numFmtId="2" fontId="12" fillId="8" borderId="23" xfId="1" applyNumberFormat="1" applyFont="1" applyFill="1" applyBorder="1" applyAlignment="1">
      <alignment horizontal="center"/>
    </xf>
    <xf numFmtId="2" fontId="0" fillId="8" borderId="13" xfId="1" applyNumberFormat="1" applyFont="1" applyFill="1" applyBorder="1" applyAlignment="1">
      <alignment horizontal="center"/>
    </xf>
    <xf numFmtId="2" fontId="0" fillId="8" borderId="22" xfId="1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7" fontId="0" fillId="0" borderId="0" xfId="0" applyNumberFormat="1"/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14" fontId="0" fillId="0" borderId="0" xfId="0" applyNumberFormat="1"/>
    <xf numFmtId="164" fontId="0" fillId="0" borderId="5" xfId="0" applyNumberFormat="1" applyBorder="1" applyAlignment="1">
      <alignment horizontal="left"/>
    </xf>
    <xf numFmtId="0" fontId="17" fillId="9" borderId="5" xfId="2" applyBorder="1" applyAlignment="1">
      <alignment horizontal="left"/>
    </xf>
    <xf numFmtId="164" fontId="0" fillId="0" borderId="0" xfId="0" applyNumberFormat="1"/>
    <xf numFmtId="17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0" xfId="0" applyNumberFormat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0" fillId="0" borderId="3" xfId="0" applyBorder="1"/>
    <xf numFmtId="0" fontId="0" fillId="2" borderId="32" xfId="0" applyFill="1" applyBorder="1"/>
    <xf numFmtId="0" fontId="0" fillId="2" borderId="0" xfId="0" applyFill="1"/>
    <xf numFmtId="0" fontId="0" fillId="2" borderId="29" xfId="0" applyFill="1" applyBorder="1"/>
    <xf numFmtId="0" fontId="0" fillId="2" borderId="6" xfId="0" applyFill="1" applyBorder="1"/>
    <xf numFmtId="164" fontId="9" fillId="3" borderId="5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2" fontId="9" fillId="3" borderId="5" xfId="1" applyNumberFormat="1" applyFont="1" applyFill="1" applyBorder="1" applyAlignment="1">
      <alignment horizontal="center" vertical="center" wrapText="1"/>
    </xf>
    <xf numFmtId="2" fontId="2" fillId="0" borderId="5" xfId="1" applyNumberFormat="1" applyFont="1" applyBorder="1" applyAlignment="1">
      <alignment horizontal="center"/>
    </xf>
    <xf numFmtId="2" fontId="0" fillId="0" borderId="5" xfId="1" applyNumberFormat="1" applyFont="1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3" fillId="3" borderId="7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 wrapText="1"/>
    </xf>
    <xf numFmtId="10" fontId="5" fillId="4" borderId="8" xfId="0" applyNumberFormat="1" applyFon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39" xfId="0" applyFill="1" applyBorder="1"/>
    <xf numFmtId="0" fontId="0" fillId="2" borderId="40" xfId="0" applyFill="1" applyBorder="1"/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21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0" fontId="5" fillId="4" borderId="12" xfId="0" applyNumberFormat="1" applyFont="1" applyFill="1" applyBorder="1" applyAlignment="1">
      <alignment horizontal="center" vertical="center" wrapText="1"/>
    </xf>
    <xf numFmtId="10" fontId="5" fillId="4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11" xfId="0" applyBorder="1"/>
    <xf numFmtId="0" fontId="0" fillId="0" borderId="42" xfId="0" applyBorder="1" applyAlignment="1">
      <alignment horizontal="center"/>
    </xf>
    <xf numFmtId="0" fontId="0" fillId="2" borderId="11" xfId="0" applyFill="1" applyBorder="1"/>
    <xf numFmtId="164" fontId="3" fillId="3" borderId="43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5" fontId="5" fillId="7" borderId="7" xfId="0" applyNumberFormat="1" applyFont="1" applyFill="1" applyBorder="1" applyAlignment="1">
      <alignment horizontal="center" vertical="center" wrapText="1"/>
    </xf>
    <xf numFmtId="2" fontId="0" fillId="8" borderId="24" xfId="1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164" fontId="4" fillId="0" borderId="45" xfId="0" applyNumberFormat="1" applyFont="1" applyBorder="1" applyAlignment="1">
      <alignment horizontal="center" vertical="center" wrapText="1"/>
    </xf>
    <xf numFmtId="164" fontId="2" fillId="0" borderId="45" xfId="0" applyNumberFormat="1" applyFont="1" applyBorder="1" applyAlignment="1">
      <alignment horizontal="center" vertical="center" wrapText="1"/>
    </xf>
    <xf numFmtId="2" fontId="0" fillId="3" borderId="45" xfId="0" applyNumberFormat="1" applyFill="1" applyBorder="1" applyAlignment="1">
      <alignment horizontal="center" vertical="center"/>
    </xf>
    <xf numFmtId="2" fontId="0" fillId="0" borderId="45" xfId="0" applyNumberFormat="1" applyBorder="1" applyAlignment="1">
      <alignment horizontal="center"/>
    </xf>
    <xf numFmtId="167" fontId="16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/>
    </xf>
    <xf numFmtId="165" fontId="5" fillId="10" borderId="45" xfId="0" applyNumberFormat="1" applyFont="1" applyFill="1" applyBorder="1" applyAlignment="1">
      <alignment horizontal="center" vertical="center" wrapText="1"/>
    </xf>
    <xf numFmtId="165" fontId="5" fillId="10" borderId="7" xfId="0" applyNumberFormat="1" applyFont="1" applyFill="1" applyBorder="1" applyAlignment="1">
      <alignment horizontal="center" vertical="center" wrapText="1"/>
    </xf>
    <xf numFmtId="165" fontId="5" fillId="10" borderId="21" xfId="0" applyNumberFormat="1" applyFont="1" applyFill="1" applyBorder="1" applyAlignment="1">
      <alignment horizontal="center" vertical="center" wrapText="1"/>
    </xf>
    <xf numFmtId="2" fontId="0" fillId="11" borderId="46" xfId="1" applyNumberFormat="1" applyFont="1" applyFill="1" applyBorder="1" applyAlignment="1">
      <alignment horizontal="center"/>
    </xf>
    <xf numFmtId="2" fontId="0" fillId="11" borderId="24" xfId="1" applyNumberFormat="1" applyFont="1" applyFill="1" applyBorder="1" applyAlignment="1">
      <alignment horizontal="center"/>
    </xf>
    <xf numFmtId="2" fontId="0" fillId="11" borderId="23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12" borderId="0" xfId="0" applyFill="1"/>
    <xf numFmtId="14" fontId="0" fillId="12" borderId="25" xfId="0" applyNumberFormat="1" applyFill="1" applyBorder="1"/>
    <xf numFmtId="0" fontId="0" fillId="12" borderId="35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35" xfId="0" applyFill="1" applyBorder="1"/>
    <xf numFmtId="0" fontId="0" fillId="12" borderId="3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6" xfId="0" applyFill="1" applyBorder="1"/>
    <xf numFmtId="0" fontId="0" fillId="12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 vertical="center" wrapText="1"/>
    </xf>
    <xf numFmtId="164" fontId="3" fillId="12" borderId="5" xfId="0" applyNumberFormat="1" applyFont="1" applyFill="1" applyBorder="1" applyAlignment="1">
      <alignment horizontal="center" vertical="center" wrapText="1"/>
    </xf>
    <xf numFmtId="164" fontId="4" fillId="12" borderId="8" xfId="0" applyNumberFormat="1" applyFont="1" applyFill="1" applyBorder="1" applyAlignment="1">
      <alignment horizontal="center" vertical="center" wrapText="1"/>
    </xf>
    <xf numFmtId="164" fontId="4" fillId="12" borderId="5" xfId="0" applyNumberFormat="1" applyFont="1" applyFill="1" applyBorder="1" applyAlignment="1">
      <alignment horizontal="center" vertical="center" wrapText="1"/>
    </xf>
    <xf numFmtId="164" fontId="0" fillId="12" borderId="8" xfId="0" applyNumberFormat="1" applyFill="1" applyBorder="1" applyAlignment="1">
      <alignment horizontal="center" vertical="center" wrapText="1"/>
    </xf>
    <xf numFmtId="164" fontId="0" fillId="12" borderId="5" xfId="0" applyNumberFormat="1" applyFill="1" applyBorder="1" applyAlignment="1">
      <alignment horizontal="center" vertical="center" wrapText="1"/>
    </xf>
    <xf numFmtId="10" fontId="5" fillId="12" borderId="8" xfId="0" applyNumberFormat="1" applyFont="1" applyFill="1" applyBorder="1" applyAlignment="1">
      <alignment horizontal="center" vertical="center" wrapText="1"/>
    </xf>
    <xf numFmtId="10" fontId="5" fillId="12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horizontal="center" vertical="center"/>
    </xf>
    <xf numFmtId="2" fontId="0" fillId="12" borderId="5" xfId="0" applyNumberFormat="1" applyFill="1" applyBorder="1" applyAlignment="1">
      <alignment horizontal="center" vertical="center"/>
    </xf>
    <xf numFmtId="2" fontId="0" fillId="12" borderId="8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10" fontId="0" fillId="12" borderId="8" xfId="1" applyNumberFormat="1" applyFont="1" applyFill="1" applyBorder="1" applyAlignment="1">
      <alignment horizontal="center"/>
    </xf>
    <xf numFmtId="10" fontId="0" fillId="12" borderId="5" xfId="1" applyNumberFormat="1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3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lal\OneDrive\Michigan\2018\Winter%202018\Work\Mass%20and%20CG%20Balance\Mass%20and%20CG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"/>
      <sheetName val="ATV Only Summary"/>
      <sheetName val="Mass_CG Raw Data"/>
      <sheetName val="Scales"/>
      <sheetName val="trackchanges"/>
      <sheetName val="ATV Trends"/>
      <sheetName val="Summary2"/>
      <sheetName val="dlm1"/>
      <sheetName val="dlm2"/>
      <sheetName val="dlm3"/>
      <sheetName val="dlm4"/>
      <sheetName val="May 18 ATV "/>
      <sheetName val="dlm5"/>
      <sheetName val="dlm6"/>
      <sheetName val="RRV and ATV Nov 17 Flight "/>
      <sheetName val="Fairings"/>
    </sheetNames>
    <sheetDataSet>
      <sheetData sheetId="0">
        <row r="43">
          <cell r="O43">
            <v>34.435229142354423</v>
          </cell>
        </row>
        <row r="44">
          <cell r="O44">
            <v>37.733484840131204</v>
          </cell>
        </row>
        <row r="45">
          <cell r="O45">
            <v>41.38478272975911</v>
          </cell>
        </row>
        <row r="46">
          <cell r="O46">
            <v>44.772644260829409</v>
          </cell>
        </row>
        <row r="47">
          <cell r="O47">
            <v>32.260510585419937</v>
          </cell>
        </row>
      </sheetData>
      <sheetData sheetId="1">
        <row r="40">
          <cell r="B40">
            <v>37.171659949187635</v>
          </cell>
        </row>
        <row r="41">
          <cell r="B41">
            <v>47.684076697520744</v>
          </cell>
        </row>
        <row r="42">
          <cell r="B42">
            <v>34.206952000490709</v>
          </cell>
        </row>
        <row r="43">
          <cell r="B43">
            <v>44.388213520032821</v>
          </cell>
        </row>
        <row r="44">
          <cell r="B44">
            <v>39.535339695544444</v>
          </cell>
        </row>
      </sheetData>
      <sheetData sheetId="2">
        <row r="43">
          <cell r="F43">
            <v>39.530195381882763</v>
          </cell>
          <cell r="G43">
            <v>36.741499564080208</v>
          </cell>
          <cell r="H43">
            <v>34.428525544944534</v>
          </cell>
          <cell r="I43">
            <v>36.742462538364329</v>
          </cell>
          <cell r="J43">
            <v>39.832179324247335</v>
          </cell>
          <cell r="K43">
            <v>38.989463220675944</v>
          </cell>
          <cell r="L43">
            <v>39.937914859722071</v>
          </cell>
          <cell r="M43">
            <v>43.128698612202157</v>
          </cell>
          <cell r="N43">
            <v>31.188785170181855</v>
          </cell>
          <cell r="O43">
            <v>30.473784449921581</v>
          </cell>
          <cell r="P43">
            <v>31.054197662061629</v>
          </cell>
          <cell r="EJ43">
            <v>39.361280892904588</v>
          </cell>
          <cell r="EK43">
            <v>37.239720073024429</v>
          </cell>
          <cell r="EL43">
            <v>39.507170906607463</v>
          </cell>
          <cell r="EM43">
            <v>36.458437656484712</v>
          </cell>
          <cell r="EN43">
            <v>37.481341625944019</v>
          </cell>
          <cell r="EO43">
            <v>39.513664273977348</v>
          </cell>
          <cell r="EP43">
            <v>36.330011938653684</v>
          </cell>
          <cell r="EQ43">
            <v>35.164939257497238</v>
          </cell>
        </row>
        <row r="44">
          <cell r="F44">
            <v>36.166666666666664</v>
          </cell>
          <cell r="G44">
            <v>38.364416159380191</v>
          </cell>
          <cell r="H44">
            <v>37.07757526819703</v>
          </cell>
          <cell r="I44">
            <v>51.499999999999993</v>
          </cell>
          <cell r="J44">
            <v>51.499999999999993</v>
          </cell>
          <cell r="K44">
            <v>51.499999999999993</v>
          </cell>
          <cell r="L44">
            <v>49.730142806562021</v>
          </cell>
          <cell r="M44">
            <v>46.01584763012503</v>
          </cell>
          <cell r="N44">
            <v>51.499999999999993</v>
          </cell>
          <cell r="O44">
            <v>51.499999999999993</v>
          </cell>
          <cell r="P44">
            <v>51.499999999999993</v>
          </cell>
          <cell r="EJ44">
            <v>30.27328747492118</v>
          </cell>
          <cell r="EK44">
            <v>32.171450417597924</v>
          </cell>
          <cell r="EL44">
            <v>34.261431411530808</v>
          </cell>
          <cell r="EM44">
            <v>40.876931919785406</v>
          </cell>
          <cell r="EN44">
            <v>37.703941730934012</v>
          </cell>
          <cell r="EO44">
            <v>37.664781167866522</v>
          </cell>
          <cell r="EP44">
            <v>33.492248062015506</v>
          </cell>
          <cell r="EQ44">
            <v>35.853741496598637</v>
          </cell>
        </row>
        <row r="45">
          <cell r="F45">
            <v>46.673952366596325</v>
          </cell>
          <cell r="G45">
            <v>46.703712632594019</v>
          </cell>
          <cell r="H45">
            <v>50.620126705653014</v>
          </cell>
          <cell r="I45">
            <v>30.88228754584043</v>
          </cell>
          <cell r="J45">
            <v>29.028122463179862</v>
          </cell>
          <cell r="K45">
            <v>30.128850294244298</v>
          </cell>
          <cell r="L45">
            <v>31.352439554075573</v>
          </cell>
          <cell r="M45">
            <v>30.628977256307248</v>
          </cell>
          <cell r="N45">
            <v>42.231111437380711</v>
          </cell>
          <cell r="O45">
            <v>41.688260304712415</v>
          </cell>
          <cell r="P45">
            <v>39.550124724871594</v>
          </cell>
          <cell r="EJ45">
            <v>47.882085204515114</v>
          </cell>
          <cell r="EK45">
            <v>47.366990881458946</v>
          </cell>
          <cell r="EL45">
            <v>42.271769893049715</v>
          </cell>
          <cell r="EM45">
            <v>45.542123399578173</v>
          </cell>
          <cell r="EN45">
            <v>45.662943573574452</v>
          </cell>
          <cell r="EO45">
            <v>45.397495991118781</v>
          </cell>
          <cell r="EP45">
            <v>48.721095700833345</v>
          </cell>
          <cell r="EQ45">
            <v>49.950993831391358</v>
          </cell>
        </row>
        <row r="46">
          <cell r="F46">
            <v>35.973551637279591</v>
          </cell>
          <cell r="G46">
            <v>41.201917130488546</v>
          </cell>
          <cell r="H46">
            <v>45.578528827037779</v>
          </cell>
          <cell r="I46">
            <v>49.9520687383989</v>
          </cell>
          <cell r="J46">
            <v>51.494663882605415</v>
          </cell>
          <cell r="K46">
            <v>51.452628868928421</v>
          </cell>
          <cell r="L46">
            <v>50.551768564066521</v>
          </cell>
          <cell r="M46">
            <v>51.499999999999993</v>
          </cell>
          <cell r="N46">
            <v>51.499999999999993</v>
          </cell>
          <cell r="O46">
            <v>51.499999999999993</v>
          </cell>
          <cell r="P46">
            <v>51.499999999999993</v>
          </cell>
          <cell r="EJ46">
            <v>48.963040980467241</v>
          </cell>
          <cell r="EK46">
            <v>51.499999999999993</v>
          </cell>
          <cell r="EL46">
            <v>50.756260953134714</v>
          </cell>
          <cell r="EM46">
            <v>51.499999999999993</v>
          </cell>
          <cell r="EN46">
            <v>51.18199660202707</v>
          </cell>
          <cell r="EO46">
            <v>51.264185016893848</v>
          </cell>
          <cell r="EP46">
            <v>51.442782834850462</v>
          </cell>
          <cell r="EQ46">
            <v>51.457127046076778</v>
          </cell>
        </row>
        <row r="47">
          <cell r="F47">
            <v>23.285588752196833</v>
          </cell>
          <cell r="G47">
            <v>21.460836083608353</v>
          </cell>
          <cell r="H47">
            <v>17.702084662837692</v>
          </cell>
          <cell r="I47">
            <v>36.317430642108647</v>
          </cell>
          <cell r="J47">
            <v>33.869367698868906</v>
          </cell>
          <cell r="K47">
            <v>32.438652615732025</v>
          </cell>
          <cell r="L47">
            <v>33.824429604897041</v>
          </cell>
          <cell r="M47">
            <v>34.805203209940451</v>
          </cell>
          <cell r="N47">
            <v>28.239498796040312</v>
          </cell>
          <cell r="O47">
            <v>28.987830319888729</v>
          </cell>
          <cell r="P47">
            <v>31.770786006360741</v>
          </cell>
          <cell r="EJ47">
            <v>20.846000275368308</v>
          </cell>
          <cell r="EK47">
            <v>22.927019195943494</v>
          </cell>
          <cell r="EL47">
            <v>26.511223848433147</v>
          </cell>
          <cell r="EM47">
            <v>25.071490656236417</v>
          </cell>
          <cell r="EN47">
            <v>24.521131805157587</v>
          </cell>
          <cell r="EO47">
            <v>24.879443179828399</v>
          </cell>
          <cell r="EP47">
            <v>22.50795877996044</v>
          </cell>
          <cell r="EQ47">
            <v>20.421946252269009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BA5F-7D84-4AC9-892C-AC6A46C2B820}">
  <dimension ref="A1:BG51"/>
  <sheetViews>
    <sheetView tabSelected="1" topLeftCell="S1" zoomScale="95" zoomScaleNormal="110" workbookViewId="0">
      <selection activeCell="AL13" sqref="AL13"/>
    </sheetView>
  </sheetViews>
  <sheetFormatPr defaultRowHeight="14.5" x14ac:dyDescent="0.35"/>
  <cols>
    <col min="1" max="1" width="21.81640625" bestFit="1" customWidth="1"/>
    <col min="2" max="2" width="12.81640625" bestFit="1" customWidth="1"/>
    <col min="3" max="3" width="13" bestFit="1" customWidth="1"/>
    <col min="4" max="5" width="10.81640625" bestFit="1" customWidth="1"/>
    <col min="6" max="6" width="11.54296875" bestFit="1" customWidth="1"/>
    <col min="7" max="7" width="10.81640625" bestFit="1" customWidth="1"/>
    <col min="8" max="25" width="11" bestFit="1" customWidth="1"/>
    <col min="26" max="27" width="11" style="189" bestFit="1" customWidth="1"/>
    <col min="28" max="29" width="10.81640625" bestFit="1" customWidth="1"/>
    <col min="30" max="30" width="11.54296875" bestFit="1" customWidth="1"/>
    <col min="31" max="31" width="10.81640625" bestFit="1" customWidth="1"/>
    <col min="32" max="59" width="11" bestFit="1" customWidth="1"/>
  </cols>
  <sheetData>
    <row r="1" spans="1:59" ht="15" thickBot="1" x14ac:dyDescent="0.4">
      <c r="A1" s="93"/>
      <c r="P1" s="21"/>
      <c r="AN1" s="21"/>
    </row>
    <row r="2" spans="1:59" ht="19" thickBot="1" x14ac:dyDescent="0.5">
      <c r="A2" s="93"/>
      <c r="D2" s="218" t="s">
        <v>208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20"/>
      <c r="AB2" s="218" t="s">
        <v>220</v>
      </c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20"/>
    </row>
    <row r="3" spans="1:59" ht="15" thickBot="1" x14ac:dyDescent="0.4">
      <c r="D3" s="221">
        <v>44966</v>
      </c>
      <c r="E3" s="222"/>
      <c r="F3" s="223" t="s">
        <v>209</v>
      </c>
      <c r="G3" s="223"/>
      <c r="H3" s="223"/>
      <c r="I3" s="223"/>
      <c r="J3" s="223"/>
      <c r="K3" s="223"/>
      <c r="L3" s="223"/>
      <c r="M3" s="223"/>
      <c r="N3" s="223"/>
      <c r="O3" s="223"/>
      <c r="P3" s="224" t="s">
        <v>212</v>
      </c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1">
        <v>45211</v>
      </c>
      <c r="AC3" s="222"/>
      <c r="AD3" s="223" t="s">
        <v>221</v>
      </c>
      <c r="AE3" s="223"/>
      <c r="AF3" s="223"/>
      <c r="AG3" s="223"/>
      <c r="AH3" s="223"/>
      <c r="AI3" s="223"/>
      <c r="AJ3" s="223"/>
      <c r="AK3" s="223"/>
      <c r="AL3" s="223"/>
      <c r="AM3" s="223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</row>
    <row r="4" spans="1:59" ht="16.5" customHeight="1" thickBot="1" x14ac:dyDescent="0.4">
      <c r="A4" s="8" t="s">
        <v>0</v>
      </c>
      <c r="B4" s="13"/>
      <c r="C4" s="13"/>
      <c r="D4" s="225" t="s">
        <v>214</v>
      </c>
      <c r="E4" s="226"/>
      <c r="F4" s="226" t="s">
        <v>213</v>
      </c>
      <c r="G4" s="226"/>
      <c r="H4" s="226"/>
      <c r="I4" s="226"/>
      <c r="J4" s="226"/>
      <c r="K4" s="226"/>
      <c r="L4" s="226"/>
      <c r="M4" s="226"/>
      <c r="N4" s="226"/>
      <c r="O4" s="227"/>
      <c r="P4" s="226" t="s">
        <v>213</v>
      </c>
      <c r="Q4" s="226"/>
      <c r="R4" s="226"/>
      <c r="S4" s="226"/>
      <c r="T4" s="226"/>
      <c r="U4" s="226"/>
      <c r="V4" s="226"/>
      <c r="W4" s="226"/>
      <c r="X4" s="226"/>
      <c r="Y4" s="227"/>
      <c r="Z4" s="190"/>
      <c r="AA4" s="190"/>
      <c r="AB4" s="225" t="s">
        <v>219</v>
      </c>
      <c r="AC4" s="226"/>
      <c r="AD4" s="226" t="s">
        <v>213</v>
      </c>
      <c r="AE4" s="226"/>
      <c r="AF4" s="226"/>
      <c r="AG4" s="226"/>
      <c r="AH4" s="226"/>
      <c r="AI4" s="226"/>
      <c r="AJ4" s="226"/>
      <c r="AK4" s="226"/>
      <c r="AL4" s="226"/>
      <c r="AM4" s="227"/>
      <c r="AN4" s="188"/>
      <c r="AO4" s="188"/>
      <c r="AP4" s="188"/>
      <c r="AQ4" s="188"/>
      <c r="AR4" s="188"/>
      <c r="AS4" s="188"/>
      <c r="AT4" s="188"/>
      <c r="AU4" s="188"/>
      <c r="AW4" s="229"/>
      <c r="AX4" s="229"/>
      <c r="AY4" s="229"/>
      <c r="AZ4" s="229"/>
      <c r="BA4" s="229"/>
      <c r="BB4" s="229"/>
      <c r="BC4" s="229"/>
      <c r="BD4" s="229"/>
      <c r="BE4" s="229"/>
      <c r="BF4" s="229"/>
    </row>
    <row r="5" spans="1:59" ht="31.5" thickBot="1" x14ac:dyDescent="0.4">
      <c r="A5" s="14" t="s">
        <v>1</v>
      </c>
      <c r="B5" t="s">
        <v>2</v>
      </c>
      <c r="C5" t="s">
        <v>3</v>
      </c>
      <c r="D5" s="12" t="s">
        <v>4</v>
      </c>
      <c r="E5" s="165" t="s">
        <v>5</v>
      </c>
      <c r="F5" s="127" t="s">
        <v>6</v>
      </c>
      <c r="G5" s="128" t="s">
        <v>7</v>
      </c>
      <c r="H5" s="128" t="s">
        <v>8</v>
      </c>
      <c r="I5" s="128" t="s">
        <v>9</v>
      </c>
      <c r="J5" s="128" t="s">
        <v>10</v>
      </c>
      <c r="K5" s="128" t="s">
        <v>11</v>
      </c>
      <c r="L5" s="128" t="s">
        <v>12</v>
      </c>
      <c r="M5" s="127" t="s">
        <v>13</v>
      </c>
      <c r="N5" s="128" t="s">
        <v>210</v>
      </c>
      <c r="O5" s="128" t="s">
        <v>211</v>
      </c>
      <c r="P5" s="127" t="s">
        <v>4</v>
      </c>
      <c r="Q5" s="128" t="s">
        <v>5</v>
      </c>
      <c r="R5" s="128" t="s">
        <v>6</v>
      </c>
      <c r="S5" s="128" t="s">
        <v>7</v>
      </c>
      <c r="T5" s="128" t="s">
        <v>8</v>
      </c>
      <c r="U5" s="128" t="s">
        <v>9</v>
      </c>
      <c r="V5" s="128" t="s">
        <v>10</v>
      </c>
      <c r="W5" s="128" t="s">
        <v>11</v>
      </c>
      <c r="X5" s="128" t="s">
        <v>12</v>
      </c>
      <c r="Y5" s="127" t="s">
        <v>13</v>
      </c>
      <c r="Z5" s="191" t="s">
        <v>210</v>
      </c>
      <c r="AA5" s="192" t="s">
        <v>211</v>
      </c>
      <c r="AB5" s="12" t="s">
        <v>4</v>
      </c>
      <c r="AC5" s="165" t="s">
        <v>5</v>
      </c>
      <c r="AD5" s="127" t="s">
        <v>6</v>
      </c>
      <c r="AE5" s="128" t="s">
        <v>7</v>
      </c>
      <c r="AF5" s="128" t="s">
        <v>8</v>
      </c>
      <c r="AG5" s="128" t="s">
        <v>9</v>
      </c>
      <c r="AH5" s="128" t="s">
        <v>10</v>
      </c>
      <c r="AI5" s="128" t="s">
        <v>11</v>
      </c>
      <c r="AJ5" s="128" t="s">
        <v>12</v>
      </c>
      <c r="AK5" s="127" t="s">
        <v>13</v>
      </c>
      <c r="AL5" s="128" t="s">
        <v>210</v>
      </c>
      <c r="AM5" s="128" t="s">
        <v>211</v>
      </c>
      <c r="AN5" s="127" t="s">
        <v>4</v>
      </c>
      <c r="AO5" s="128" t="s">
        <v>5</v>
      </c>
      <c r="AP5" s="128" t="s">
        <v>6</v>
      </c>
      <c r="AQ5" s="128" t="s">
        <v>7</v>
      </c>
      <c r="AR5" s="128" t="s">
        <v>8</v>
      </c>
      <c r="AS5" s="128" t="s">
        <v>9</v>
      </c>
      <c r="AT5" s="128" t="s">
        <v>10</v>
      </c>
      <c r="AU5" s="128" t="s">
        <v>11</v>
      </c>
      <c r="AV5" s="128" t="s">
        <v>12</v>
      </c>
      <c r="AW5" s="127" t="s">
        <v>13</v>
      </c>
      <c r="AX5" s="134" t="s">
        <v>210</v>
      </c>
      <c r="AY5" s="128" t="s">
        <v>211</v>
      </c>
      <c r="AZ5" s="94"/>
      <c r="BA5" s="94"/>
      <c r="BB5" s="94"/>
      <c r="BC5" s="94"/>
      <c r="BD5" s="94"/>
      <c r="BE5" s="94"/>
      <c r="BF5" s="94"/>
      <c r="BG5" s="94"/>
    </row>
    <row r="6" spans="1:59" ht="15" thickBot="1" x14ac:dyDescent="0.4">
      <c r="A6" s="9"/>
      <c r="B6" s="13"/>
      <c r="C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93"/>
      <c r="AA6" s="194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228"/>
      <c r="AX6" s="228"/>
      <c r="AY6" s="228"/>
      <c r="AZ6" s="228"/>
      <c r="BA6" s="228"/>
      <c r="BB6" s="228"/>
      <c r="BC6" s="228"/>
      <c r="BD6" s="228"/>
      <c r="BE6" s="228"/>
      <c r="BF6" s="228"/>
      <c r="BG6" s="228"/>
    </row>
    <row r="7" spans="1:59" ht="15.5" x14ac:dyDescent="0.35">
      <c r="A7" s="15" t="s">
        <v>14</v>
      </c>
      <c r="D7" s="101"/>
      <c r="E7" s="1"/>
      <c r="F7" s="147"/>
      <c r="G7" s="1"/>
      <c r="H7" s="1"/>
      <c r="I7" s="1"/>
      <c r="J7" s="1"/>
      <c r="K7" s="1"/>
      <c r="L7" s="1"/>
      <c r="M7" s="102"/>
      <c r="N7" s="1"/>
      <c r="O7" s="146"/>
      <c r="P7" s="145"/>
      <c r="Q7" s="1"/>
      <c r="R7" s="19"/>
      <c r="S7" s="1"/>
      <c r="T7" s="1"/>
      <c r="U7" s="1"/>
      <c r="V7" s="1"/>
      <c r="W7" s="1"/>
      <c r="X7" s="1"/>
      <c r="Y7" s="146"/>
      <c r="Z7" s="195"/>
      <c r="AA7" s="196"/>
      <c r="AB7" s="101"/>
      <c r="AC7" s="1"/>
      <c r="AD7" s="147"/>
      <c r="AE7" s="1"/>
      <c r="AF7" s="1"/>
      <c r="AG7" s="1"/>
      <c r="AH7" s="1"/>
      <c r="AI7" s="1"/>
      <c r="AJ7" s="1"/>
      <c r="AK7" s="102"/>
      <c r="AL7" s="1"/>
      <c r="AM7" s="146"/>
      <c r="AN7" s="145"/>
      <c r="AO7" s="1"/>
      <c r="AP7" s="19"/>
      <c r="AQ7" s="1"/>
      <c r="AR7" s="1"/>
      <c r="AS7" s="1"/>
      <c r="AT7" s="1"/>
      <c r="AU7" s="1"/>
      <c r="AV7" s="1"/>
      <c r="AW7" s="146"/>
      <c r="AX7" s="1"/>
      <c r="AY7" s="102"/>
      <c r="AZ7" s="19"/>
      <c r="BA7" s="19"/>
      <c r="BB7" s="19"/>
      <c r="BC7" s="19"/>
      <c r="BD7" s="19"/>
      <c r="BE7" s="19"/>
      <c r="BF7" s="19"/>
      <c r="BG7" s="19"/>
    </row>
    <row r="8" spans="1:59" ht="15.5" x14ac:dyDescent="0.35">
      <c r="A8" s="10" t="s">
        <v>15</v>
      </c>
      <c r="D8" s="103"/>
      <c r="E8" s="19"/>
      <c r="F8" s="147"/>
      <c r="G8" s="19"/>
      <c r="H8" s="19"/>
      <c r="I8" s="19"/>
      <c r="J8" s="19"/>
      <c r="K8" s="19"/>
      <c r="L8" s="19"/>
      <c r="M8" s="104"/>
      <c r="N8" s="19"/>
      <c r="O8" s="148"/>
      <c r="P8" s="147"/>
      <c r="Q8" s="19"/>
      <c r="R8" s="19"/>
      <c r="S8" s="19"/>
      <c r="T8" s="19"/>
      <c r="U8" s="19"/>
      <c r="V8" s="19"/>
      <c r="W8" s="19"/>
      <c r="X8" s="19"/>
      <c r="Y8" s="148"/>
      <c r="Z8" s="197"/>
      <c r="AA8" s="198"/>
      <c r="AB8" s="103"/>
      <c r="AC8" s="19"/>
      <c r="AD8" s="147"/>
      <c r="AE8" s="19"/>
      <c r="AF8" s="19"/>
      <c r="AG8" s="19"/>
      <c r="AH8" s="19"/>
      <c r="AI8" s="19"/>
      <c r="AJ8" s="19"/>
      <c r="AK8" s="104"/>
      <c r="AL8" s="19"/>
      <c r="AM8" s="148"/>
      <c r="AN8" s="147"/>
      <c r="AO8" s="19"/>
      <c r="AP8" s="19"/>
      <c r="AQ8" s="19"/>
      <c r="AR8" s="19"/>
      <c r="AS8" s="19"/>
      <c r="AT8" s="19"/>
      <c r="AU8" s="19"/>
      <c r="AV8" s="19"/>
      <c r="AW8" s="148"/>
      <c r="AX8" s="19"/>
      <c r="AY8" s="104"/>
      <c r="AZ8" s="19"/>
      <c r="BA8" s="19"/>
      <c r="BB8" s="19"/>
      <c r="BC8" s="19"/>
      <c r="BD8" s="19"/>
      <c r="BE8" s="19"/>
      <c r="BF8" s="19"/>
      <c r="BG8" s="19"/>
    </row>
    <row r="9" spans="1:59" ht="15.5" x14ac:dyDescent="0.35">
      <c r="A9" s="10" t="s">
        <v>16</v>
      </c>
      <c r="D9" s="103"/>
      <c r="E9" s="19"/>
      <c r="F9" s="147"/>
      <c r="G9" s="19"/>
      <c r="H9" s="19"/>
      <c r="I9" s="19"/>
      <c r="J9" s="19"/>
      <c r="K9" s="19"/>
      <c r="L9" s="19"/>
      <c r="M9" s="104"/>
      <c r="N9" s="19"/>
      <c r="O9" s="148"/>
      <c r="P9" s="147"/>
      <c r="Q9" s="19"/>
      <c r="R9" s="19"/>
      <c r="S9" s="19"/>
      <c r="T9" s="19"/>
      <c r="U9" s="19"/>
      <c r="V9" s="19"/>
      <c r="W9" s="19"/>
      <c r="X9" s="19"/>
      <c r="Y9" s="148"/>
      <c r="Z9" s="197"/>
      <c r="AA9" s="198"/>
      <c r="AB9" s="103"/>
      <c r="AC9" s="19"/>
      <c r="AD9" s="147"/>
      <c r="AE9" s="19"/>
      <c r="AF9" s="19"/>
      <c r="AG9" s="19"/>
      <c r="AH9" s="19"/>
      <c r="AI9" s="19"/>
      <c r="AJ9" s="19"/>
      <c r="AK9" s="104"/>
      <c r="AL9" s="19"/>
      <c r="AM9" s="148"/>
      <c r="AN9" s="147"/>
      <c r="AO9" s="19"/>
      <c r="AP9" s="19"/>
      <c r="AQ9" s="19"/>
      <c r="AR9" s="19"/>
      <c r="AS9" s="19"/>
      <c r="AT9" s="19"/>
      <c r="AU9" s="19"/>
      <c r="AV9" s="19"/>
      <c r="AW9" s="148"/>
      <c r="AX9" s="19"/>
      <c r="AY9" s="104"/>
      <c r="AZ9" s="19"/>
      <c r="BA9" s="19"/>
      <c r="BB9" s="19"/>
      <c r="BC9" s="19"/>
      <c r="BD9" s="19"/>
      <c r="BE9" s="19"/>
      <c r="BF9" s="19"/>
      <c r="BG9" s="19"/>
    </row>
    <row r="10" spans="1:59" ht="15.5" x14ac:dyDescent="0.35">
      <c r="A10" s="10" t="s">
        <v>17</v>
      </c>
      <c r="D10" s="103"/>
      <c r="E10" s="19"/>
      <c r="F10" s="166"/>
      <c r="G10" s="19"/>
      <c r="H10" s="19"/>
      <c r="I10" s="19"/>
      <c r="J10" s="19"/>
      <c r="K10" s="19"/>
      <c r="L10" s="19"/>
      <c r="M10" s="104"/>
      <c r="N10" s="19"/>
      <c r="O10" s="148"/>
      <c r="P10" s="147"/>
      <c r="Q10" s="19"/>
      <c r="S10" s="19"/>
      <c r="T10" s="19"/>
      <c r="U10" s="19"/>
      <c r="V10" s="19"/>
      <c r="W10" s="19"/>
      <c r="X10" s="19"/>
      <c r="Y10" s="148"/>
      <c r="Z10" s="197"/>
      <c r="AA10" s="198"/>
      <c r="AB10" s="103"/>
      <c r="AC10" s="19"/>
      <c r="AD10" s="166"/>
      <c r="AE10" s="19"/>
      <c r="AF10" s="19"/>
      <c r="AG10" s="19"/>
      <c r="AH10" s="19"/>
      <c r="AI10" s="19"/>
      <c r="AJ10" s="19"/>
      <c r="AK10" s="104"/>
      <c r="AL10" s="19"/>
      <c r="AM10" s="148"/>
      <c r="AN10" s="147"/>
      <c r="AO10" s="19"/>
      <c r="AQ10" s="19"/>
      <c r="AR10" s="19"/>
      <c r="AS10" s="19"/>
      <c r="AT10" s="19"/>
      <c r="AU10" s="19"/>
      <c r="AV10" s="19"/>
      <c r="AW10" s="148"/>
      <c r="AX10" s="19"/>
      <c r="AY10" s="104"/>
      <c r="AZ10" s="19"/>
      <c r="BA10" s="19"/>
      <c r="BB10" s="19"/>
      <c r="BC10" s="19"/>
      <c r="BD10" s="19"/>
      <c r="BE10" s="19"/>
      <c r="BF10" s="19"/>
      <c r="BG10" s="19"/>
    </row>
    <row r="11" spans="1:59" ht="16" thickBot="1" x14ac:dyDescent="0.4">
      <c r="A11" s="16" t="s">
        <v>18</v>
      </c>
      <c r="D11" s="103"/>
      <c r="E11" s="20"/>
      <c r="F11" s="167"/>
      <c r="G11" s="20"/>
      <c r="H11" s="20"/>
      <c r="I11" s="20"/>
      <c r="J11" s="20"/>
      <c r="K11" s="20"/>
      <c r="L11" s="20"/>
      <c r="M11" s="105"/>
      <c r="N11" s="20"/>
      <c r="O11" s="149"/>
      <c r="P11" s="147"/>
      <c r="Q11" s="20"/>
      <c r="R11" s="20"/>
      <c r="S11" s="20"/>
      <c r="T11" s="20"/>
      <c r="U11" s="20"/>
      <c r="V11" s="20"/>
      <c r="W11" s="20"/>
      <c r="X11" s="20"/>
      <c r="Y11" s="149"/>
      <c r="Z11" s="199"/>
      <c r="AA11" s="200"/>
      <c r="AB11" s="103"/>
      <c r="AC11" s="20"/>
      <c r="AD11" s="167"/>
      <c r="AE11" s="20"/>
      <c r="AF11" s="20"/>
      <c r="AG11" s="20"/>
      <c r="AH11" s="20"/>
      <c r="AI11" s="20"/>
      <c r="AJ11" s="20"/>
      <c r="AK11" s="105"/>
      <c r="AL11" s="20"/>
      <c r="AM11" s="149"/>
      <c r="AN11" s="147"/>
      <c r="AO11" s="20"/>
      <c r="AP11" s="20"/>
      <c r="AQ11" s="20"/>
      <c r="AR11" s="20"/>
      <c r="AS11" s="20"/>
      <c r="AT11" s="20"/>
      <c r="AU11" s="20"/>
      <c r="AV11" s="20"/>
      <c r="AW11" s="149"/>
      <c r="AX11" s="20"/>
      <c r="AY11" s="105"/>
      <c r="AZ11" s="19"/>
      <c r="BA11" s="19"/>
      <c r="BB11" s="19"/>
      <c r="BC11" s="19"/>
      <c r="BD11" s="19"/>
      <c r="BE11" s="19"/>
      <c r="BF11" s="19"/>
      <c r="BG11" s="19"/>
    </row>
    <row r="12" spans="1:59" ht="15.5" x14ac:dyDescent="0.35">
      <c r="A12" s="111"/>
      <c r="B12" s="112"/>
      <c r="C12" s="112"/>
      <c r="D12" s="113"/>
      <c r="E12" s="114"/>
      <c r="F12" s="168"/>
      <c r="G12" s="115"/>
      <c r="H12" s="115"/>
      <c r="I12" s="115"/>
      <c r="J12" s="115"/>
      <c r="K12" s="115"/>
      <c r="L12" s="115"/>
      <c r="M12" s="116"/>
      <c r="N12" s="115"/>
      <c r="O12" s="151"/>
      <c r="P12" s="150"/>
      <c r="Q12" s="114"/>
      <c r="R12" s="115"/>
      <c r="S12" s="115"/>
      <c r="T12" s="115"/>
      <c r="U12" s="115"/>
      <c r="V12" s="115"/>
      <c r="W12" s="115"/>
      <c r="X12" s="115"/>
      <c r="Y12" s="151"/>
      <c r="AA12" s="201"/>
      <c r="AB12" s="113"/>
      <c r="AC12" s="114"/>
      <c r="AD12" s="168"/>
      <c r="AE12" s="115"/>
      <c r="AF12" s="115"/>
      <c r="AG12" s="115"/>
      <c r="AH12" s="115"/>
      <c r="AI12" s="115"/>
      <c r="AJ12" s="115"/>
      <c r="AK12" s="116"/>
      <c r="AL12" s="115"/>
      <c r="AM12" s="151"/>
      <c r="AN12" s="150"/>
      <c r="AO12" s="114"/>
      <c r="AP12" s="115"/>
      <c r="AQ12" s="115"/>
      <c r="AR12" s="115"/>
      <c r="AS12" s="115"/>
      <c r="AT12" s="115"/>
      <c r="AU12" s="115"/>
      <c r="AV12" s="115"/>
      <c r="AW12" s="151"/>
      <c r="AX12" s="114"/>
      <c r="AY12" s="116"/>
    </row>
    <row r="13" spans="1:59" ht="15.5" x14ac:dyDescent="0.35">
      <c r="A13" s="11" t="s">
        <v>19</v>
      </c>
      <c r="B13" s="117">
        <v>340.3</v>
      </c>
      <c r="C13" s="118">
        <v>319.59999999999997</v>
      </c>
      <c r="D13" s="93">
        <v>459</v>
      </c>
      <c r="E13" s="129">
        <v>557.20000000000005</v>
      </c>
      <c r="F13" s="35">
        <v>481.9</v>
      </c>
      <c r="G13" s="93">
        <v>486.2</v>
      </c>
      <c r="H13" s="93">
        <v>509.7</v>
      </c>
      <c r="I13" s="93">
        <v>460.7</v>
      </c>
      <c r="J13" s="93">
        <v>494.8</v>
      </c>
      <c r="K13" s="93">
        <v>475.2</v>
      </c>
      <c r="L13" s="93">
        <v>428.3</v>
      </c>
      <c r="M13" s="93">
        <v>454.4</v>
      </c>
      <c r="N13" s="93">
        <v>422.4</v>
      </c>
      <c r="O13" s="36">
        <v>482.4</v>
      </c>
      <c r="P13" s="35">
        <v>488.5</v>
      </c>
      <c r="Q13" s="93">
        <v>442.1</v>
      </c>
      <c r="R13" s="93">
        <v>431.3</v>
      </c>
      <c r="S13" s="93">
        <v>456.1</v>
      </c>
      <c r="T13" s="93">
        <v>365</v>
      </c>
      <c r="U13" s="93">
        <v>490.8</v>
      </c>
      <c r="V13" s="93">
        <v>491.8</v>
      </c>
      <c r="W13" s="93">
        <v>481.7</v>
      </c>
      <c r="X13" s="93">
        <v>448</v>
      </c>
      <c r="Y13" s="36">
        <v>464.6</v>
      </c>
      <c r="Z13" s="202"/>
      <c r="AA13" s="203"/>
      <c r="AB13" s="93">
        <v>385.7</v>
      </c>
      <c r="AC13" s="129">
        <v>422.3</v>
      </c>
      <c r="AD13" s="35">
        <v>426</v>
      </c>
      <c r="AE13" s="93">
        <v>407.4</v>
      </c>
      <c r="AF13" s="93">
        <v>403.1</v>
      </c>
      <c r="AG13" s="93">
        <v>438.4</v>
      </c>
      <c r="AH13" s="93">
        <v>444.1</v>
      </c>
      <c r="AI13" s="93">
        <v>445.3</v>
      </c>
      <c r="AJ13" s="93">
        <v>412.3</v>
      </c>
      <c r="AK13" s="93">
        <v>396.8</v>
      </c>
      <c r="AL13" s="93"/>
      <c r="AM13" s="36"/>
      <c r="AN13" s="35"/>
      <c r="AO13" s="93"/>
      <c r="AP13" s="93"/>
      <c r="AQ13" s="93"/>
      <c r="AR13" s="93"/>
      <c r="AS13" s="93"/>
      <c r="AT13" s="93"/>
      <c r="AU13" s="93"/>
      <c r="AV13" s="93"/>
      <c r="AW13" s="36"/>
      <c r="AX13" s="135"/>
      <c r="AY13" s="93"/>
      <c r="AZ13" s="19"/>
      <c r="BA13" s="19"/>
      <c r="BB13" s="19"/>
      <c r="BC13" s="19"/>
      <c r="BD13" s="19"/>
      <c r="BE13" s="19"/>
      <c r="BF13" s="19"/>
      <c r="BG13" s="19"/>
    </row>
    <row r="14" spans="1:59" ht="15.5" x14ac:dyDescent="0.35">
      <c r="A14" s="11" t="s">
        <v>20</v>
      </c>
      <c r="B14" s="117">
        <v>254.33333333333334</v>
      </c>
      <c r="C14" s="118">
        <v>271.5</v>
      </c>
      <c r="D14" s="93">
        <v>253.1</v>
      </c>
      <c r="E14" s="129">
        <v>159.9</v>
      </c>
      <c r="F14" s="35">
        <v>210</v>
      </c>
      <c r="G14" s="93">
        <v>322</v>
      </c>
      <c r="H14" s="93">
        <v>250</v>
      </c>
      <c r="I14" s="93">
        <v>217</v>
      </c>
      <c r="J14" s="93">
        <v>229</v>
      </c>
      <c r="K14" s="93">
        <v>217</v>
      </c>
      <c r="L14" s="93">
        <v>225</v>
      </c>
      <c r="M14" s="93">
        <v>247</v>
      </c>
      <c r="N14" s="93">
        <v>234</v>
      </c>
      <c r="O14" s="36">
        <v>272</v>
      </c>
      <c r="P14" s="35">
        <v>266</v>
      </c>
      <c r="Q14" s="93">
        <v>327</v>
      </c>
      <c r="R14" s="93">
        <v>356</v>
      </c>
      <c r="S14" s="93">
        <v>358</v>
      </c>
      <c r="T14" s="93">
        <v>347.4</v>
      </c>
      <c r="U14" s="93">
        <v>246</v>
      </c>
      <c r="V14" s="93">
        <v>265</v>
      </c>
      <c r="W14" s="93">
        <v>266</v>
      </c>
      <c r="X14" s="93">
        <v>293</v>
      </c>
      <c r="Y14" s="36">
        <v>296</v>
      </c>
      <c r="Z14" s="202"/>
      <c r="AA14" s="203"/>
      <c r="AB14" s="93">
        <v>161.6</v>
      </c>
      <c r="AC14" s="129">
        <v>170.8</v>
      </c>
      <c r="AD14" s="35">
        <v>164.2</v>
      </c>
      <c r="AE14" s="93">
        <v>178.9</v>
      </c>
      <c r="AF14" s="93">
        <v>207.8</v>
      </c>
      <c r="AG14" s="93">
        <v>142.19999999999999</v>
      </c>
      <c r="AH14" s="93">
        <v>133</v>
      </c>
      <c r="AI14" s="93">
        <v>148.1</v>
      </c>
      <c r="AJ14" s="93">
        <v>197</v>
      </c>
      <c r="AK14" s="93">
        <v>198</v>
      </c>
      <c r="AL14" s="93"/>
      <c r="AM14" s="36"/>
      <c r="AN14" s="35"/>
      <c r="AO14" s="93"/>
      <c r="AP14" s="93"/>
      <c r="AQ14" s="93"/>
      <c r="AR14" s="93"/>
      <c r="AS14" s="93"/>
      <c r="AT14" s="93"/>
      <c r="AU14" s="93"/>
      <c r="AV14" s="93"/>
      <c r="AW14" s="36"/>
      <c r="AX14" s="135"/>
      <c r="AY14" s="93"/>
      <c r="AZ14" s="19"/>
      <c r="BA14" s="19"/>
      <c r="BB14" s="19"/>
      <c r="BC14" s="19"/>
      <c r="BD14" s="19"/>
      <c r="BE14" s="19"/>
      <c r="BF14" s="19"/>
      <c r="BG14" s="19"/>
    </row>
    <row r="15" spans="1:59" ht="15.5" x14ac:dyDescent="0.35">
      <c r="A15" s="11" t="s">
        <v>21</v>
      </c>
      <c r="B15" s="117">
        <v>517.41666666666663</v>
      </c>
      <c r="C15" s="118">
        <v>485.45000000000005</v>
      </c>
      <c r="D15" s="93">
        <v>417</v>
      </c>
      <c r="E15" s="129">
        <v>430.2</v>
      </c>
      <c r="F15" s="35">
        <v>789.5</v>
      </c>
      <c r="G15" s="93">
        <v>801.4</v>
      </c>
      <c r="H15" s="93">
        <v>835</v>
      </c>
      <c r="I15" s="93">
        <v>975.1</v>
      </c>
      <c r="J15" s="93">
        <v>867.9</v>
      </c>
      <c r="K15" s="93">
        <v>842</v>
      </c>
      <c r="L15" s="93">
        <v>969.2</v>
      </c>
      <c r="M15" s="93">
        <v>938.1</v>
      </c>
      <c r="N15" s="93">
        <v>1017.1</v>
      </c>
      <c r="O15" s="36">
        <v>896.4</v>
      </c>
      <c r="P15" s="35">
        <v>878</v>
      </c>
      <c r="Q15" s="93">
        <v>908.6</v>
      </c>
      <c r="R15" s="93">
        <v>901.9</v>
      </c>
      <c r="S15" s="93">
        <v>836.4</v>
      </c>
      <c r="T15" s="93">
        <v>960.4</v>
      </c>
      <c r="U15" s="93">
        <v>917.8</v>
      </c>
      <c r="V15" s="93">
        <v>901.2</v>
      </c>
      <c r="W15" s="93">
        <v>910.1</v>
      </c>
      <c r="X15" s="93">
        <v>913.6</v>
      </c>
      <c r="Y15" s="36">
        <v>898.9</v>
      </c>
      <c r="Z15" s="202"/>
      <c r="AA15" s="203"/>
      <c r="AB15" s="93">
        <v>1258.5999999999999</v>
      </c>
      <c r="AC15" s="129">
        <v>1233.2</v>
      </c>
      <c r="AD15" s="35">
        <v>1190</v>
      </c>
      <c r="AE15" s="93">
        <v>1187.7</v>
      </c>
      <c r="AF15" s="93">
        <v>1106.2</v>
      </c>
      <c r="AG15" s="93">
        <v>1158.2</v>
      </c>
      <c r="AH15" s="93">
        <v>1162</v>
      </c>
      <c r="AI15" s="93">
        <v>1159.9000000000001</v>
      </c>
      <c r="AJ15" s="93">
        <v>1203</v>
      </c>
      <c r="AK15" s="93">
        <v>1253</v>
      </c>
      <c r="AL15" s="93"/>
      <c r="AM15" s="36"/>
      <c r="AN15" s="35"/>
      <c r="AO15" s="93"/>
      <c r="AP15" s="93"/>
      <c r="AQ15" s="93"/>
      <c r="AR15" s="93"/>
      <c r="AS15" s="93"/>
      <c r="AT15" s="93"/>
      <c r="AU15" s="93"/>
      <c r="AV15" s="93"/>
      <c r="AW15" s="36"/>
      <c r="AX15" s="135"/>
      <c r="AY15" s="93"/>
      <c r="AZ15" s="19"/>
      <c r="BA15" s="19"/>
      <c r="BB15" s="19"/>
      <c r="BC15" s="19"/>
      <c r="BD15" s="19"/>
      <c r="BE15" s="19"/>
      <c r="BF15" s="19"/>
      <c r="BG15" s="19"/>
    </row>
    <row r="16" spans="1:59" ht="15.5" x14ac:dyDescent="0.35">
      <c r="A16" s="11" t="s">
        <v>22</v>
      </c>
      <c r="B16" s="117">
        <v>287.16666666666669</v>
      </c>
      <c r="C16" s="118">
        <v>287.66666666666669</v>
      </c>
      <c r="D16" s="93">
        <v>731</v>
      </c>
      <c r="E16" s="129">
        <v>704</v>
      </c>
      <c r="F16" s="35">
        <v>435.4</v>
      </c>
      <c r="G16" s="93">
        <v>285.89999999999998</v>
      </c>
      <c r="H16" s="93">
        <v>334.5</v>
      </c>
      <c r="I16" s="93">
        <v>305.89999999999998</v>
      </c>
      <c r="J16" s="93">
        <v>336.7</v>
      </c>
      <c r="K16" s="93">
        <v>311.8</v>
      </c>
      <c r="L16" s="93">
        <v>315.89999999999998</v>
      </c>
      <c r="M16" s="93">
        <v>306.3</v>
      </c>
      <c r="N16" s="93">
        <v>308.89999999999998</v>
      </c>
      <c r="O16" s="36">
        <v>290.5</v>
      </c>
      <c r="P16" s="35">
        <v>255</v>
      </c>
      <c r="Q16" s="93">
        <v>283</v>
      </c>
      <c r="R16" s="93">
        <v>234.6</v>
      </c>
      <c r="S16" s="93">
        <v>301</v>
      </c>
      <c r="T16" s="93">
        <v>220</v>
      </c>
      <c r="U16" s="93">
        <v>309.5</v>
      </c>
      <c r="V16" s="93">
        <v>312.2</v>
      </c>
      <c r="W16" s="93">
        <v>354</v>
      </c>
      <c r="X16" s="93">
        <v>348</v>
      </c>
      <c r="Y16" s="36">
        <v>367.2</v>
      </c>
      <c r="Z16" s="202"/>
      <c r="AA16" s="203"/>
      <c r="AB16" s="93">
        <v>148.5</v>
      </c>
      <c r="AC16" s="129">
        <v>222</v>
      </c>
      <c r="AD16" s="35">
        <v>235.4</v>
      </c>
      <c r="AE16" s="93">
        <v>259.2</v>
      </c>
      <c r="AF16" s="93">
        <v>289.39999999999998</v>
      </c>
      <c r="AG16" s="93">
        <v>342.7</v>
      </c>
      <c r="AH16" s="93">
        <v>267.3</v>
      </c>
      <c r="AI16" s="93">
        <v>282.39999999999998</v>
      </c>
      <c r="AJ16" s="93">
        <v>308.5</v>
      </c>
      <c r="AK16" s="93">
        <v>271.5</v>
      </c>
      <c r="AL16" s="93"/>
      <c r="AM16" s="36"/>
      <c r="AN16" s="35"/>
      <c r="AO16" s="93"/>
      <c r="AP16" s="93"/>
      <c r="AQ16" s="93"/>
      <c r="AR16" s="93"/>
      <c r="AS16" s="93"/>
      <c r="AT16" s="93"/>
      <c r="AU16" s="93"/>
      <c r="AV16" s="93"/>
      <c r="AW16" s="36"/>
      <c r="AX16" s="135"/>
      <c r="AY16" s="93"/>
      <c r="AZ16" s="19"/>
      <c r="BA16" s="19"/>
      <c r="BB16" s="19"/>
      <c r="BC16" s="19"/>
      <c r="BD16" s="19"/>
      <c r="BE16" s="19"/>
      <c r="BF16" s="19"/>
      <c r="BG16" s="19"/>
    </row>
    <row r="17" spans="1:59" ht="15.5" x14ac:dyDescent="0.35">
      <c r="A17" s="11" t="s">
        <v>23</v>
      </c>
      <c r="B17" s="117">
        <v>325.7</v>
      </c>
      <c r="C17" s="118">
        <v>345.86666666666673</v>
      </c>
      <c r="D17" s="2">
        <v>519</v>
      </c>
      <c r="E17" s="130">
        <v>505.5</v>
      </c>
      <c r="F17" s="152">
        <v>416.5</v>
      </c>
      <c r="G17" s="93">
        <v>468</v>
      </c>
      <c r="H17" s="2">
        <v>396</v>
      </c>
      <c r="I17" s="2">
        <v>374.2</v>
      </c>
      <c r="J17" s="2">
        <v>420.4</v>
      </c>
      <c r="K17" s="2">
        <v>488.2</v>
      </c>
      <c r="L17" s="2">
        <v>408</v>
      </c>
      <c r="M17" s="2">
        <v>401.1</v>
      </c>
      <c r="N17" s="2">
        <v>380.6</v>
      </c>
      <c r="O17" s="153">
        <v>424.6</v>
      </c>
      <c r="P17" s="152">
        <v>470.3</v>
      </c>
      <c r="Q17" s="2">
        <v>381.7</v>
      </c>
      <c r="R17" s="2">
        <v>434</v>
      </c>
      <c r="S17" s="93">
        <v>407.4</v>
      </c>
      <c r="T17" s="2">
        <v>481.8</v>
      </c>
      <c r="U17" s="2">
        <v>407.9</v>
      </c>
      <c r="V17" s="2">
        <v>398.2</v>
      </c>
      <c r="W17" s="2">
        <v>360.2</v>
      </c>
      <c r="X17" s="2">
        <v>364.4</v>
      </c>
      <c r="Y17" s="153">
        <v>324.60000000000002</v>
      </c>
      <c r="Z17" s="204"/>
      <c r="AA17" s="205"/>
      <c r="AB17" s="2">
        <v>426.6</v>
      </c>
      <c r="AC17" s="130">
        <v>370.6</v>
      </c>
      <c r="AD17" s="152">
        <v>386.7</v>
      </c>
      <c r="AE17" s="93">
        <v>373.9</v>
      </c>
      <c r="AF17" s="2">
        <v>396.6</v>
      </c>
      <c r="AG17" s="2">
        <v>348.1</v>
      </c>
      <c r="AH17" s="2">
        <v>383.1</v>
      </c>
      <c r="AI17" s="2">
        <v>372.4</v>
      </c>
      <c r="AJ17" s="2">
        <v>325</v>
      </c>
      <c r="AK17" s="2">
        <v>331.4</v>
      </c>
      <c r="AL17" s="2"/>
      <c r="AM17" s="153"/>
      <c r="AN17" s="152"/>
      <c r="AO17" s="2"/>
      <c r="AP17" s="2"/>
      <c r="AQ17" s="93"/>
      <c r="AR17" s="2"/>
      <c r="AS17" s="2"/>
      <c r="AT17" s="2"/>
      <c r="AU17" s="2"/>
      <c r="AV17" s="2"/>
      <c r="AW17" s="153"/>
      <c r="AX17" s="136"/>
      <c r="AY17" s="2"/>
      <c r="AZ17" s="95"/>
      <c r="BA17" s="95"/>
      <c r="BB17" s="95"/>
      <c r="BC17" s="95"/>
      <c r="BD17" s="95"/>
      <c r="BE17" s="95"/>
      <c r="BF17" s="95"/>
      <c r="BG17" s="95"/>
    </row>
    <row r="18" spans="1:59" ht="15.5" x14ac:dyDescent="0.35">
      <c r="A18" s="11" t="s">
        <v>24</v>
      </c>
      <c r="B18" s="117">
        <v>1724.916666666667</v>
      </c>
      <c r="C18" s="118">
        <v>1710.0833333333333</v>
      </c>
      <c r="D18" s="42">
        <f t="shared" ref="D18:M18" si="0">SUM(D13:D17)</f>
        <v>2379.1</v>
      </c>
      <c r="E18" s="3">
        <f t="shared" si="0"/>
        <v>2356.8000000000002</v>
      </c>
      <c r="F18" s="41">
        <f t="shared" si="0"/>
        <v>2333.3000000000002</v>
      </c>
      <c r="G18" s="42">
        <f t="shared" si="0"/>
        <v>2363.5</v>
      </c>
      <c r="H18" s="42">
        <f t="shared" si="0"/>
        <v>2325.1999999999998</v>
      </c>
      <c r="I18" s="42">
        <f t="shared" si="0"/>
        <v>2332.9</v>
      </c>
      <c r="J18" s="42">
        <f t="shared" si="0"/>
        <v>2348.7999999999997</v>
      </c>
      <c r="K18" s="42">
        <f t="shared" si="0"/>
        <v>2334.1999999999998</v>
      </c>
      <c r="L18" s="42">
        <f t="shared" si="0"/>
        <v>2346.4</v>
      </c>
      <c r="M18" s="42">
        <f t="shared" si="0"/>
        <v>2346.9</v>
      </c>
      <c r="N18" s="42">
        <f t="shared" ref="N18:Y18" si="1">SUM(N13:N17)</f>
        <v>2363</v>
      </c>
      <c r="O18" s="43">
        <f t="shared" si="1"/>
        <v>2365.9</v>
      </c>
      <c r="P18" s="41">
        <f t="shared" si="1"/>
        <v>2357.8000000000002</v>
      </c>
      <c r="Q18" s="42">
        <f t="shared" si="1"/>
        <v>2342.4</v>
      </c>
      <c r="R18" s="42">
        <f t="shared" si="1"/>
        <v>2357.7999999999997</v>
      </c>
      <c r="S18" s="42">
        <f t="shared" si="1"/>
        <v>2358.9</v>
      </c>
      <c r="T18" s="42">
        <f t="shared" si="1"/>
        <v>2374.6</v>
      </c>
      <c r="U18" s="42">
        <f t="shared" si="1"/>
        <v>2372</v>
      </c>
      <c r="V18" s="42">
        <f t="shared" si="1"/>
        <v>2368.4</v>
      </c>
      <c r="W18" s="42">
        <f t="shared" si="1"/>
        <v>2372</v>
      </c>
      <c r="X18" s="42">
        <f t="shared" si="1"/>
        <v>2367</v>
      </c>
      <c r="Y18" s="43">
        <f t="shared" si="1"/>
        <v>2351.3000000000002</v>
      </c>
      <c r="Z18" s="206">
        <f t="shared" ref="Z18:AW18" si="2">SUM(Z13:Z17)</f>
        <v>0</v>
      </c>
      <c r="AA18" s="207">
        <f t="shared" si="2"/>
        <v>0</v>
      </c>
      <c r="AB18" s="42">
        <f t="shared" si="2"/>
        <v>2381</v>
      </c>
      <c r="AC18" s="3">
        <f t="shared" si="2"/>
        <v>2418.9</v>
      </c>
      <c r="AD18" s="41">
        <f t="shared" si="2"/>
        <v>2402.3000000000002</v>
      </c>
      <c r="AE18" s="42">
        <f t="shared" si="2"/>
        <v>2407.1</v>
      </c>
      <c r="AF18" s="42">
        <f t="shared" si="2"/>
        <v>2403.1</v>
      </c>
      <c r="AG18" s="42">
        <f t="shared" si="2"/>
        <v>2429.6</v>
      </c>
      <c r="AH18" s="42">
        <f t="shared" si="2"/>
        <v>2389.5</v>
      </c>
      <c r="AI18" s="42">
        <f t="shared" si="2"/>
        <v>2408.1000000000004</v>
      </c>
      <c r="AJ18" s="42">
        <f t="shared" si="2"/>
        <v>2445.8000000000002</v>
      </c>
      <c r="AK18" s="42">
        <f t="shared" si="2"/>
        <v>2450.7000000000003</v>
      </c>
      <c r="AL18" s="42">
        <f t="shared" si="2"/>
        <v>0</v>
      </c>
      <c r="AM18" s="43">
        <f t="shared" si="2"/>
        <v>0</v>
      </c>
      <c r="AN18" s="41">
        <f t="shared" si="2"/>
        <v>0</v>
      </c>
      <c r="AO18" s="42">
        <f t="shared" si="2"/>
        <v>0</v>
      </c>
      <c r="AP18" s="42">
        <f t="shared" si="2"/>
        <v>0</v>
      </c>
      <c r="AQ18" s="42">
        <f t="shared" si="2"/>
        <v>0</v>
      </c>
      <c r="AR18" s="42">
        <f t="shared" si="2"/>
        <v>0</v>
      </c>
      <c r="AS18" s="42">
        <f t="shared" si="2"/>
        <v>0</v>
      </c>
      <c r="AT18" s="42">
        <f t="shared" si="2"/>
        <v>0</v>
      </c>
      <c r="AU18" s="42">
        <f t="shared" si="2"/>
        <v>0</v>
      </c>
      <c r="AV18" s="42">
        <f t="shared" si="2"/>
        <v>0</v>
      </c>
      <c r="AW18" s="43">
        <f t="shared" si="2"/>
        <v>0</v>
      </c>
      <c r="AX18" s="137">
        <f t="shared" ref="AX18:AY18" si="3">SUM(AX13:AX17)</f>
        <v>0</v>
      </c>
      <c r="AY18" s="42">
        <f t="shared" si="3"/>
        <v>0</v>
      </c>
      <c r="AZ18" s="96"/>
      <c r="BA18" s="96"/>
      <c r="BB18" s="96"/>
      <c r="BC18" s="96"/>
      <c r="BD18" s="96"/>
      <c r="BE18" s="96"/>
      <c r="BF18" s="96"/>
      <c r="BG18" s="96"/>
    </row>
    <row r="19" spans="1:59" ht="15" x14ac:dyDescent="0.35">
      <c r="A19" s="119"/>
      <c r="B19" s="81"/>
      <c r="C19" s="81"/>
      <c r="D19" s="106"/>
      <c r="E19" s="131"/>
      <c r="F19" s="154"/>
      <c r="G19" s="106"/>
      <c r="H19" s="106"/>
      <c r="I19" s="106"/>
      <c r="J19" s="106"/>
      <c r="K19" s="106"/>
      <c r="L19" s="106"/>
      <c r="M19" s="106"/>
      <c r="N19" s="106"/>
      <c r="O19" s="155"/>
      <c r="P19" s="154"/>
      <c r="Q19" s="106"/>
      <c r="R19" s="106"/>
      <c r="S19" s="106"/>
      <c r="T19" s="106"/>
      <c r="U19" s="106"/>
      <c r="V19" s="106"/>
      <c r="W19" s="106"/>
      <c r="X19" s="106"/>
      <c r="Y19" s="155"/>
      <c r="Z19" s="202"/>
      <c r="AA19" s="203"/>
      <c r="AB19" s="106"/>
      <c r="AC19" s="131"/>
      <c r="AD19" s="154"/>
      <c r="AE19" s="106"/>
      <c r="AF19" s="106"/>
      <c r="AG19" s="106"/>
      <c r="AH19" s="106"/>
      <c r="AI19" s="106"/>
      <c r="AJ19" s="106"/>
      <c r="AK19" s="106"/>
      <c r="AL19" s="106"/>
      <c r="AM19" s="155"/>
      <c r="AN19" s="154"/>
      <c r="AO19" s="106"/>
      <c r="AP19" s="106"/>
      <c r="AQ19" s="106"/>
      <c r="AR19" s="106"/>
      <c r="AS19" s="106"/>
      <c r="AT19" s="106"/>
      <c r="AU19" s="106"/>
      <c r="AV19" s="106"/>
      <c r="AW19" s="155"/>
      <c r="AX19" s="138"/>
      <c r="AY19" s="106"/>
      <c r="AZ19" s="19"/>
      <c r="BA19" s="19"/>
      <c r="BB19" s="19"/>
      <c r="BC19" s="19"/>
      <c r="BD19" s="19"/>
      <c r="BE19" s="19"/>
      <c r="BF19" s="19"/>
      <c r="BG19" s="19"/>
    </row>
    <row r="20" spans="1:59" ht="15.5" x14ac:dyDescent="0.35">
      <c r="A20" s="11" t="s">
        <v>25</v>
      </c>
      <c r="B20" s="117">
        <v>1865.8</v>
      </c>
      <c r="C20" s="118">
        <v>1890.6166666666668</v>
      </c>
      <c r="D20" s="93">
        <v>1886.6</v>
      </c>
      <c r="E20" s="129">
        <v>1851.7</v>
      </c>
      <c r="F20" s="35">
        <v>1745</v>
      </c>
      <c r="G20" s="93">
        <v>1767.9</v>
      </c>
      <c r="H20" s="93">
        <v>1746.9</v>
      </c>
      <c r="I20" s="93">
        <v>1853.2</v>
      </c>
      <c r="J20" s="93">
        <v>1774.8</v>
      </c>
      <c r="K20" s="93">
        <v>1837.5</v>
      </c>
      <c r="L20" s="93">
        <v>1839.4</v>
      </c>
      <c r="M20" s="93">
        <v>1825.1</v>
      </c>
      <c r="N20" s="93">
        <v>1775.4</v>
      </c>
      <c r="O20" s="36">
        <v>1722.6</v>
      </c>
      <c r="P20" s="35">
        <v>1698.2</v>
      </c>
      <c r="Q20" s="93">
        <v>1891.8</v>
      </c>
      <c r="R20" s="93">
        <v>1785.5</v>
      </c>
      <c r="S20" s="93">
        <v>1843.9</v>
      </c>
      <c r="T20" s="93">
        <v>1850.3</v>
      </c>
      <c r="U20" s="93">
        <v>1864.8</v>
      </c>
      <c r="V20" s="93">
        <v>1812.7</v>
      </c>
      <c r="W20" s="93">
        <v>1787.8</v>
      </c>
      <c r="X20" s="93">
        <v>1767.9</v>
      </c>
      <c r="Y20" s="36">
        <v>1780.7</v>
      </c>
      <c r="Z20" s="202"/>
      <c r="AA20" s="203"/>
      <c r="AB20" s="93">
        <v>1937.5</v>
      </c>
      <c r="AC20" s="129">
        <v>1817.1</v>
      </c>
      <c r="AD20" s="35">
        <v>1786.5</v>
      </c>
      <c r="AE20" s="93">
        <v>1893.2</v>
      </c>
      <c r="AF20" s="93">
        <v>1872</v>
      </c>
      <c r="AG20" s="93">
        <v>1747</v>
      </c>
      <c r="AH20" s="93">
        <v>1809</v>
      </c>
      <c r="AI20" s="93">
        <v>1838.6</v>
      </c>
      <c r="AJ20" s="93">
        <v>1811</v>
      </c>
      <c r="AK20" s="93">
        <v>1736.1</v>
      </c>
      <c r="AL20" s="93"/>
      <c r="AM20" s="36"/>
      <c r="AN20" s="35"/>
      <c r="AO20" s="93"/>
      <c r="AP20" s="93"/>
      <c r="AQ20" s="93"/>
      <c r="AR20" s="93"/>
      <c r="AS20" s="93"/>
      <c r="AT20" s="93"/>
      <c r="AU20" s="93"/>
      <c r="AV20" s="93"/>
      <c r="AW20" s="36"/>
      <c r="AX20" s="135"/>
      <c r="AY20" s="93"/>
      <c r="AZ20" s="19"/>
      <c r="BA20" s="19"/>
      <c r="BB20" s="19"/>
      <c r="BC20" s="19"/>
      <c r="BD20" s="19"/>
      <c r="BE20" s="19"/>
      <c r="BF20" s="19"/>
      <c r="BG20" s="19"/>
    </row>
    <row r="21" spans="1:59" ht="15.5" x14ac:dyDescent="0.35">
      <c r="A21" s="11" t="s">
        <v>26</v>
      </c>
      <c r="B21" s="117">
        <v>1586.1666666666667</v>
      </c>
      <c r="C21" s="118">
        <v>1552.1666666666667</v>
      </c>
      <c r="D21" s="93">
        <v>1228.9000000000001</v>
      </c>
      <c r="E21" s="129">
        <v>1232.2</v>
      </c>
      <c r="F21" s="35">
        <v>1484</v>
      </c>
      <c r="G21" s="93">
        <v>1382</v>
      </c>
      <c r="H21" s="93">
        <v>1359</v>
      </c>
      <c r="I21" s="93">
        <v>1324</v>
      </c>
      <c r="J21" s="93">
        <v>1403</v>
      </c>
      <c r="K21" s="93">
        <v>1348</v>
      </c>
      <c r="L21" s="93">
        <v>1414</v>
      </c>
      <c r="M21" s="93">
        <v>1331</v>
      </c>
      <c r="N21" s="93">
        <v>1450</v>
      </c>
      <c r="O21" s="36">
        <v>1381</v>
      </c>
      <c r="P21" s="35">
        <v>1415</v>
      </c>
      <c r="Q21" s="93">
        <v>1203</v>
      </c>
      <c r="R21" s="93">
        <v>1316</v>
      </c>
      <c r="S21" s="93">
        <v>1217</v>
      </c>
      <c r="T21" s="93">
        <v>1299</v>
      </c>
      <c r="U21" s="93">
        <v>1274</v>
      </c>
      <c r="V21" s="93">
        <v>1298</v>
      </c>
      <c r="W21" s="93">
        <v>1290</v>
      </c>
      <c r="X21" s="93">
        <v>1406</v>
      </c>
      <c r="Y21" s="36">
        <v>1348</v>
      </c>
      <c r="Z21" s="202"/>
      <c r="AA21" s="203"/>
      <c r="AB21" s="93">
        <v>1675.5</v>
      </c>
      <c r="AC21" s="129">
        <v>1753</v>
      </c>
      <c r="AD21" s="35">
        <v>1810.9</v>
      </c>
      <c r="AE21" s="93">
        <v>1733.1</v>
      </c>
      <c r="AF21" s="93">
        <v>1674.8</v>
      </c>
      <c r="AG21" s="93">
        <v>1903.5</v>
      </c>
      <c r="AH21" s="93">
        <v>1793</v>
      </c>
      <c r="AI21" s="93">
        <v>1828.6</v>
      </c>
      <c r="AJ21" s="93">
        <v>1829</v>
      </c>
      <c r="AK21" s="93">
        <v>1960</v>
      </c>
      <c r="AL21" s="93"/>
      <c r="AM21" s="36"/>
      <c r="AN21" s="35"/>
      <c r="AO21" s="93"/>
      <c r="AP21" s="93"/>
      <c r="AQ21" s="93"/>
      <c r="AR21" s="93"/>
      <c r="AS21" s="93"/>
      <c r="AT21" s="93"/>
      <c r="AU21" s="93"/>
      <c r="AV21" s="93"/>
      <c r="AW21" s="36"/>
      <c r="AX21" s="135"/>
      <c r="AY21" s="93"/>
      <c r="AZ21" s="19"/>
      <c r="BA21" s="19"/>
      <c r="BB21" s="19"/>
      <c r="BC21" s="19"/>
      <c r="BD21" s="19"/>
      <c r="BE21" s="19"/>
      <c r="BF21" s="19"/>
      <c r="BG21" s="19"/>
    </row>
    <row r="22" spans="1:59" ht="15.5" x14ac:dyDescent="0.35">
      <c r="A22" s="11" t="s">
        <v>27</v>
      </c>
      <c r="B22" s="117">
        <v>2729.0166666666664</v>
      </c>
      <c r="C22" s="118">
        <v>2753.7666666666664</v>
      </c>
      <c r="D22" s="93">
        <v>3153.2</v>
      </c>
      <c r="E22" s="129">
        <v>3215.4</v>
      </c>
      <c r="F22" s="35">
        <v>2840.7</v>
      </c>
      <c r="G22" s="93">
        <v>2867</v>
      </c>
      <c r="H22" s="93">
        <v>2819.2</v>
      </c>
      <c r="I22" s="93">
        <v>2714.1</v>
      </c>
      <c r="J22" s="93">
        <v>2725.4</v>
      </c>
      <c r="K22" s="93">
        <v>2767.1</v>
      </c>
      <c r="L22" s="93">
        <v>2669.4</v>
      </c>
      <c r="M22" s="93">
        <v>2725.4</v>
      </c>
      <c r="N22" s="93">
        <v>2633.3</v>
      </c>
      <c r="O22" s="36">
        <v>2816</v>
      </c>
      <c r="P22" s="35">
        <v>2882.1</v>
      </c>
      <c r="Q22" s="93">
        <v>2703.3</v>
      </c>
      <c r="R22" s="93">
        <v>2795</v>
      </c>
      <c r="S22" s="93">
        <v>2821.1</v>
      </c>
      <c r="T22" s="93">
        <v>2717.1</v>
      </c>
      <c r="U22" s="93">
        <v>2749</v>
      </c>
      <c r="V22" s="93">
        <v>2781.5</v>
      </c>
      <c r="W22" s="93">
        <v>2788.8</v>
      </c>
      <c r="X22" s="93">
        <v>2707</v>
      </c>
      <c r="Y22" s="36">
        <v>2752</v>
      </c>
      <c r="Z22" s="202"/>
      <c r="AA22" s="203"/>
      <c r="AB22" s="93">
        <v>2331</v>
      </c>
      <c r="AC22" s="129">
        <v>2374</v>
      </c>
      <c r="AD22" s="35">
        <v>2402</v>
      </c>
      <c r="AE22" s="93">
        <v>2333</v>
      </c>
      <c r="AF22" s="93">
        <v>2502</v>
      </c>
      <c r="AG22" s="93">
        <v>2339</v>
      </c>
      <c r="AH22" s="93">
        <v>2482</v>
      </c>
      <c r="AI22" s="93">
        <v>2270</v>
      </c>
      <c r="AJ22" s="93">
        <v>2292</v>
      </c>
      <c r="AK22" s="93">
        <v>2237</v>
      </c>
      <c r="AL22" s="93"/>
      <c r="AM22" s="36"/>
      <c r="AN22" s="35"/>
      <c r="AO22" s="93"/>
      <c r="AP22" s="93"/>
      <c r="AQ22" s="93"/>
      <c r="AR22" s="93"/>
      <c r="AS22" s="93"/>
      <c r="AT22" s="93"/>
      <c r="AU22" s="93"/>
      <c r="AV22" s="93"/>
      <c r="AW22" s="36"/>
      <c r="AX22" s="135"/>
      <c r="AY22" s="93"/>
      <c r="AZ22" s="19"/>
      <c r="BA22" s="19"/>
      <c r="BB22" s="19"/>
      <c r="BC22" s="19"/>
      <c r="BD22" s="19"/>
      <c r="BE22" s="19"/>
      <c r="BF22" s="19"/>
      <c r="BG22" s="19"/>
    </row>
    <row r="23" spans="1:59" ht="15.5" x14ac:dyDescent="0.35">
      <c r="A23" s="11" t="s">
        <v>28</v>
      </c>
      <c r="B23" s="117">
        <v>1579.8833333333332</v>
      </c>
      <c r="C23" s="118">
        <v>1609.3500000000001</v>
      </c>
      <c r="D23" s="93">
        <v>1302</v>
      </c>
      <c r="E23" s="129">
        <v>1192</v>
      </c>
      <c r="F23" s="35">
        <v>1309.2</v>
      </c>
      <c r="G23" s="93">
        <v>1242.7</v>
      </c>
      <c r="H23" s="93">
        <v>1514.8</v>
      </c>
      <c r="I23" s="93">
        <v>1441.5</v>
      </c>
      <c r="J23" s="93">
        <v>1512.9</v>
      </c>
      <c r="K23" s="93">
        <v>1525.2</v>
      </c>
      <c r="L23" s="93">
        <v>1429.7</v>
      </c>
      <c r="M23" s="93">
        <v>1517</v>
      </c>
      <c r="N23" s="93">
        <v>1540.3</v>
      </c>
      <c r="O23" s="36">
        <v>1512.5</v>
      </c>
      <c r="P23" s="35">
        <v>1437</v>
      </c>
      <c r="Q23" s="93">
        <v>1566.5</v>
      </c>
      <c r="R23" s="93">
        <v>1493.8</v>
      </c>
      <c r="S23" s="93">
        <v>1469</v>
      </c>
      <c r="T23" s="93">
        <v>1419.1</v>
      </c>
      <c r="U23" s="93">
        <v>1380</v>
      </c>
      <c r="V23" s="93">
        <v>1423.4</v>
      </c>
      <c r="W23" s="93">
        <v>1511.2</v>
      </c>
      <c r="X23" s="93">
        <v>1459.7</v>
      </c>
      <c r="Y23" s="36">
        <v>1426.9</v>
      </c>
      <c r="Z23" s="202"/>
      <c r="AA23" s="203"/>
      <c r="AB23" s="93">
        <v>1576</v>
      </c>
      <c r="AC23" s="129">
        <v>1541</v>
      </c>
      <c r="AD23" s="35">
        <v>1511</v>
      </c>
      <c r="AE23" s="93">
        <v>1463.2</v>
      </c>
      <c r="AF23" s="93">
        <v>1434</v>
      </c>
      <c r="AG23" s="93">
        <v>1468</v>
      </c>
      <c r="AH23" s="93">
        <v>1360</v>
      </c>
      <c r="AI23" s="93">
        <v>1516</v>
      </c>
      <c r="AJ23" s="93">
        <v>1468</v>
      </c>
      <c r="AK23" s="93">
        <v>1469</v>
      </c>
      <c r="AL23" s="93"/>
      <c r="AM23" s="36"/>
      <c r="AN23" s="35"/>
      <c r="AO23" s="93"/>
      <c r="AP23" s="93"/>
      <c r="AQ23" s="93"/>
      <c r="AR23" s="93"/>
      <c r="AS23" s="93"/>
      <c r="AT23" s="93"/>
      <c r="AU23" s="93"/>
      <c r="AV23" s="93"/>
      <c r="AW23" s="36"/>
      <c r="AX23" s="135"/>
      <c r="AY23" s="93"/>
      <c r="AZ23" s="19"/>
      <c r="BA23" s="19"/>
      <c r="BB23" s="19"/>
      <c r="BC23" s="19"/>
      <c r="BD23" s="19"/>
      <c r="BE23" s="19"/>
      <c r="BF23" s="19"/>
      <c r="BG23" s="19"/>
    </row>
    <row r="24" spans="1:59" ht="15.5" x14ac:dyDescent="0.35">
      <c r="A24" s="11" t="s">
        <v>29</v>
      </c>
      <c r="B24" s="117">
        <v>1843.1333333333332</v>
      </c>
      <c r="C24" s="118">
        <v>1817.8333333333333</v>
      </c>
      <c r="D24" s="93">
        <v>1551</v>
      </c>
      <c r="E24" s="129">
        <v>1649.4</v>
      </c>
      <c r="F24" s="35">
        <v>1789.1</v>
      </c>
      <c r="G24" s="93">
        <v>1887.6</v>
      </c>
      <c r="H24" s="93">
        <v>1738.7</v>
      </c>
      <c r="I24" s="93">
        <v>1836.8</v>
      </c>
      <c r="J24" s="93">
        <v>1742.3</v>
      </c>
      <c r="K24" s="93">
        <v>1690.8</v>
      </c>
      <c r="L24" s="93">
        <v>1809.6</v>
      </c>
      <c r="M24" s="93">
        <v>1764.1</v>
      </c>
      <c r="N24" s="93">
        <v>1738.2</v>
      </c>
      <c r="O24" s="36">
        <v>1707.2</v>
      </c>
      <c r="P24" s="35">
        <v>1713.2</v>
      </c>
      <c r="Q24" s="93">
        <v>1795.6</v>
      </c>
      <c r="R24" s="93">
        <v>1756.4</v>
      </c>
      <c r="S24" s="93">
        <v>1795.4</v>
      </c>
      <c r="T24" s="93">
        <v>1844.2</v>
      </c>
      <c r="U24" s="93">
        <v>1864.2</v>
      </c>
      <c r="V24" s="93">
        <v>1820.2</v>
      </c>
      <c r="W24" s="93">
        <v>1754.1</v>
      </c>
      <c r="X24" s="93">
        <v>1794.9</v>
      </c>
      <c r="Y24" s="36">
        <v>1844.4</v>
      </c>
      <c r="Z24" s="202"/>
      <c r="AA24" s="203"/>
      <c r="AB24" s="93">
        <v>1954.5</v>
      </c>
      <c r="AC24" s="129">
        <v>1951.7</v>
      </c>
      <c r="AD24" s="35">
        <v>1940.9</v>
      </c>
      <c r="AE24" s="93">
        <v>2020</v>
      </c>
      <c r="AF24" s="93">
        <v>1961.7</v>
      </c>
      <c r="AG24" s="93">
        <v>1956.6</v>
      </c>
      <c r="AH24" s="93">
        <v>2024.6</v>
      </c>
      <c r="AI24" s="93">
        <v>1998.8</v>
      </c>
      <c r="AJ24" s="93">
        <v>2018.6</v>
      </c>
      <c r="AK24" s="93">
        <v>2008.3</v>
      </c>
      <c r="AL24" s="93"/>
      <c r="AM24" s="36"/>
      <c r="AN24" s="35"/>
      <c r="AO24" s="93"/>
      <c r="AP24" s="93"/>
      <c r="AQ24" s="93"/>
      <c r="AR24" s="93"/>
      <c r="AS24" s="93"/>
      <c r="AT24" s="93"/>
      <c r="AU24" s="93"/>
      <c r="AV24" s="93"/>
      <c r="AW24" s="36"/>
      <c r="AX24" s="135"/>
      <c r="AY24" s="93"/>
      <c r="AZ24" s="19"/>
      <c r="BA24" s="19"/>
      <c r="BB24" s="19"/>
      <c r="BC24" s="19"/>
      <c r="BD24" s="19"/>
      <c r="BE24" s="19"/>
      <c r="BF24" s="19"/>
      <c r="BG24" s="19"/>
    </row>
    <row r="25" spans="1:59" ht="15.5" x14ac:dyDescent="0.35">
      <c r="A25" s="11" t="s">
        <v>30</v>
      </c>
      <c r="B25" s="117">
        <v>9604</v>
      </c>
      <c r="C25" s="118">
        <v>9623.7333333333354</v>
      </c>
      <c r="D25" s="42">
        <f t="shared" ref="D25:M25" si="4">SUM(D20:D24)</f>
        <v>9121.7000000000007</v>
      </c>
      <c r="E25" s="3">
        <f t="shared" si="4"/>
        <v>9140.7000000000007</v>
      </c>
      <c r="F25" s="41">
        <f t="shared" si="4"/>
        <v>9168</v>
      </c>
      <c r="G25" s="42">
        <f t="shared" si="4"/>
        <v>9147.1999999999989</v>
      </c>
      <c r="H25" s="42">
        <f t="shared" si="4"/>
        <v>9178.6</v>
      </c>
      <c r="I25" s="42">
        <f t="shared" si="4"/>
        <v>9169.5999999999985</v>
      </c>
      <c r="J25" s="42">
        <f t="shared" si="4"/>
        <v>9158.4</v>
      </c>
      <c r="K25" s="42">
        <f t="shared" si="4"/>
        <v>9168.6</v>
      </c>
      <c r="L25" s="42">
        <f t="shared" si="4"/>
        <v>9162.1</v>
      </c>
      <c r="M25" s="42">
        <f t="shared" si="4"/>
        <v>9162.6</v>
      </c>
      <c r="N25" s="42">
        <f t="shared" ref="N25:Y25" si="5">SUM(N20:N24)</f>
        <v>9137.2000000000007</v>
      </c>
      <c r="O25" s="43">
        <f t="shared" si="5"/>
        <v>9139.3000000000011</v>
      </c>
      <c r="P25" s="41">
        <f t="shared" si="5"/>
        <v>9145.5</v>
      </c>
      <c r="Q25" s="42">
        <f t="shared" si="5"/>
        <v>9160.2000000000007</v>
      </c>
      <c r="R25" s="42">
        <f t="shared" si="5"/>
        <v>9146.7000000000007</v>
      </c>
      <c r="S25" s="42">
        <f t="shared" si="5"/>
        <v>9146.4</v>
      </c>
      <c r="T25" s="42">
        <f t="shared" si="5"/>
        <v>9129.7000000000007</v>
      </c>
      <c r="U25" s="42">
        <f t="shared" si="5"/>
        <v>9132</v>
      </c>
      <c r="V25" s="42">
        <f t="shared" si="5"/>
        <v>9135.8000000000011</v>
      </c>
      <c r="W25" s="42">
        <f t="shared" si="5"/>
        <v>9131.9</v>
      </c>
      <c r="X25" s="42">
        <f t="shared" si="5"/>
        <v>9135.5</v>
      </c>
      <c r="Y25" s="43">
        <f t="shared" si="5"/>
        <v>9152</v>
      </c>
      <c r="Z25" s="206">
        <f t="shared" ref="Z25:AW25" si="6">SUM(Z20:Z24)</f>
        <v>0</v>
      </c>
      <c r="AA25" s="207">
        <f t="shared" si="6"/>
        <v>0</v>
      </c>
      <c r="AB25" s="42">
        <f t="shared" si="6"/>
        <v>9474.5</v>
      </c>
      <c r="AC25" s="3">
        <f t="shared" si="6"/>
        <v>9436.8000000000011</v>
      </c>
      <c r="AD25" s="41">
        <f t="shared" si="6"/>
        <v>9451.2999999999993</v>
      </c>
      <c r="AE25" s="42">
        <f t="shared" si="6"/>
        <v>9442.5</v>
      </c>
      <c r="AF25" s="42">
        <f t="shared" si="6"/>
        <v>9444.5</v>
      </c>
      <c r="AG25" s="42">
        <f t="shared" si="6"/>
        <v>9414.1</v>
      </c>
      <c r="AH25" s="42">
        <f t="shared" si="6"/>
        <v>9468.6</v>
      </c>
      <c r="AI25" s="42">
        <f t="shared" si="6"/>
        <v>9452</v>
      </c>
      <c r="AJ25" s="42">
        <f t="shared" si="6"/>
        <v>9418.6</v>
      </c>
      <c r="AK25" s="42">
        <f t="shared" si="6"/>
        <v>9410.4</v>
      </c>
      <c r="AL25" s="42">
        <f t="shared" si="6"/>
        <v>0</v>
      </c>
      <c r="AM25" s="43">
        <f t="shared" si="6"/>
        <v>0</v>
      </c>
      <c r="AN25" s="41">
        <f t="shared" si="6"/>
        <v>0</v>
      </c>
      <c r="AO25" s="42">
        <f t="shared" si="6"/>
        <v>0</v>
      </c>
      <c r="AP25" s="42">
        <f t="shared" si="6"/>
        <v>0</v>
      </c>
      <c r="AQ25" s="42">
        <f t="shared" si="6"/>
        <v>0</v>
      </c>
      <c r="AR25" s="42">
        <f t="shared" si="6"/>
        <v>0</v>
      </c>
      <c r="AS25" s="42">
        <f t="shared" si="6"/>
        <v>0</v>
      </c>
      <c r="AT25" s="42">
        <f t="shared" si="6"/>
        <v>0</v>
      </c>
      <c r="AU25" s="42">
        <f t="shared" si="6"/>
        <v>0</v>
      </c>
      <c r="AV25" s="42">
        <f t="shared" si="6"/>
        <v>0</v>
      </c>
      <c r="AW25" s="43">
        <f t="shared" si="6"/>
        <v>0</v>
      </c>
      <c r="AX25" s="137">
        <f t="shared" ref="AX25:AY25" si="7">SUM(AX20:AX24)</f>
        <v>0</v>
      </c>
      <c r="AY25" s="42">
        <f t="shared" si="7"/>
        <v>0</v>
      </c>
      <c r="AZ25" s="96"/>
      <c r="BA25" s="96"/>
      <c r="BB25" s="96"/>
      <c r="BC25" s="96"/>
      <c r="BD25" s="96"/>
      <c r="BE25" s="96"/>
      <c r="BF25" s="96"/>
      <c r="BG25" s="96"/>
    </row>
    <row r="26" spans="1:59" ht="15" x14ac:dyDescent="0.35">
      <c r="A26" s="119"/>
      <c r="B26" s="81"/>
      <c r="C26" s="81"/>
      <c r="D26" s="106"/>
      <c r="E26" s="131"/>
      <c r="F26" s="154"/>
      <c r="G26" s="106"/>
      <c r="H26" s="106"/>
      <c r="I26" s="106"/>
      <c r="J26" s="106"/>
      <c r="K26" s="106"/>
      <c r="L26" s="106"/>
      <c r="M26" s="106"/>
      <c r="N26" s="106"/>
      <c r="O26" s="155"/>
      <c r="P26" s="154"/>
      <c r="Q26" s="106"/>
      <c r="R26" s="106"/>
      <c r="S26" s="106"/>
      <c r="T26" s="106"/>
      <c r="U26" s="106"/>
      <c r="V26" s="106"/>
      <c r="W26" s="106"/>
      <c r="X26" s="106"/>
      <c r="Y26" s="155"/>
      <c r="Z26" s="202"/>
      <c r="AA26" s="203"/>
      <c r="AB26" s="106"/>
      <c r="AC26" s="131"/>
      <c r="AD26" s="154"/>
      <c r="AE26" s="106"/>
      <c r="AF26" s="106"/>
      <c r="AG26" s="106"/>
      <c r="AH26" s="106"/>
      <c r="AI26" s="106"/>
      <c r="AJ26" s="106"/>
      <c r="AK26" s="106"/>
      <c r="AL26" s="106"/>
      <c r="AM26" s="155"/>
      <c r="AN26" s="154"/>
      <c r="AO26" s="106"/>
      <c r="AP26" s="106"/>
      <c r="AQ26" s="106"/>
      <c r="AR26" s="106"/>
      <c r="AS26" s="106"/>
      <c r="AT26" s="106"/>
      <c r="AU26" s="106"/>
      <c r="AV26" s="106"/>
      <c r="AW26" s="155"/>
      <c r="AX26" s="138"/>
      <c r="AY26" s="106"/>
      <c r="AZ26" s="19"/>
      <c r="BA26" s="19"/>
      <c r="BB26" s="19"/>
      <c r="BC26" s="19"/>
      <c r="BD26" s="19"/>
      <c r="BE26" s="19"/>
      <c r="BF26" s="19"/>
      <c r="BG26" s="19"/>
    </row>
    <row r="27" spans="1:59" ht="15.5" x14ac:dyDescent="0.35">
      <c r="A27" s="11" t="s">
        <v>31</v>
      </c>
      <c r="B27" s="117">
        <v>11328.916666666666</v>
      </c>
      <c r="C27" s="118">
        <v>11333.816666666666</v>
      </c>
      <c r="D27" s="107">
        <f t="shared" ref="D27:M27" si="8">D25+D18</f>
        <v>11500.800000000001</v>
      </c>
      <c r="E27" s="4">
        <f t="shared" si="8"/>
        <v>11497.5</v>
      </c>
      <c r="F27" s="156">
        <f t="shared" si="8"/>
        <v>11501.3</v>
      </c>
      <c r="G27" s="107">
        <f t="shared" si="8"/>
        <v>11510.699999999999</v>
      </c>
      <c r="H27" s="107">
        <f t="shared" si="8"/>
        <v>11503.8</v>
      </c>
      <c r="I27" s="107">
        <f t="shared" si="8"/>
        <v>11502.499999999998</v>
      </c>
      <c r="J27" s="107">
        <f t="shared" si="8"/>
        <v>11507.199999999999</v>
      </c>
      <c r="K27" s="107">
        <f t="shared" si="8"/>
        <v>11502.8</v>
      </c>
      <c r="L27" s="107">
        <f t="shared" si="8"/>
        <v>11508.5</v>
      </c>
      <c r="M27" s="107">
        <f t="shared" si="8"/>
        <v>11509.5</v>
      </c>
      <c r="N27" s="107">
        <f t="shared" ref="N27:Y27" si="9">N25+N18</f>
        <v>11500.2</v>
      </c>
      <c r="O27" s="157">
        <f t="shared" si="9"/>
        <v>11505.2</v>
      </c>
      <c r="P27" s="156">
        <f t="shared" si="9"/>
        <v>11503.3</v>
      </c>
      <c r="Q27" s="107">
        <f t="shared" si="9"/>
        <v>11502.6</v>
      </c>
      <c r="R27" s="107">
        <f t="shared" si="9"/>
        <v>11504.5</v>
      </c>
      <c r="S27" s="107">
        <f t="shared" si="9"/>
        <v>11505.3</v>
      </c>
      <c r="T27" s="107">
        <f t="shared" si="9"/>
        <v>11504.300000000001</v>
      </c>
      <c r="U27" s="107">
        <f t="shared" si="9"/>
        <v>11504</v>
      </c>
      <c r="V27" s="107">
        <f t="shared" si="9"/>
        <v>11504.2</v>
      </c>
      <c r="W27" s="107">
        <f t="shared" si="9"/>
        <v>11503.9</v>
      </c>
      <c r="X27" s="107">
        <f t="shared" si="9"/>
        <v>11502.5</v>
      </c>
      <c r="Y27" s="157">
        <f t="shared" si="9"/>
        <v>11503.3</v>
      </c>
      <c r="Z27" s="208">
        <f t="shared" ref="Z27:AW27" si="10">Z25+Z18</f>
        <v>0</v>
      </c>
      <c r="AA27" s="209">
        <f t="shared" si="10"/>
        <v>0</v>
      </c>
      <c r="AB27" s="107">
        <f t="shared" si="10"/>
        <v>11855.5</v>
      </c>
      <c r="AC27" s="4">
        <f t="shared" si="10"/>
        <v>11855.7</v>
      </c>
      <c r="AD27" s="156">
        <f t="shared" si="10"/>
        <v>11853.599999999999</v>
      </c>
      <c r="AE27" s="107">
        <f t="shared" si="10"/>
        <v>11849.6</v>
      </c>
      <c r="AF27" s="107">
        <f t="shared" si="10"/>
        <v>11847.6</v>
      </c>
      <c r="AG27" s="107">
        <f t="shared" si="10"/>
        <v>11843.7</v>
      </c>
      <c r="AH27" s="107">
        <f t="shared" si="10"/>
        <v>11858.1</v>
      </c>
      <c r="AI27" s="107">
        <f t="shared" si="10"/>
        <v>11860.1</v>
      </c>
      <c r="AJ27" s="107">
        <f t="shared" si="10"/>
        <v>11864.400000000001</v>
      </c>
      <c r="AK27" s="107">
        <f t="shared" si="10"/>
        <v>11861.1</v>
      </c>
      <c r="AL27" s="107">
        <f t="shared" si="10"/>
        <v>0</v>
      </c>
      <c r="AM27" s="157">
        <f t="shared" si="10"/>
        <v>0</v>
      </c>
      <c r="AN27" s="156">
        <f t="shared" si="10"/>
        <v>0</v>
      </c>
      <c r="AO27" s="107">
        <f t="shared" si="10"/>
        <v>0</v>
      </c>
      <c r="AP27" s="107">
        <f t="shared" si="10"/>
        <v>0</v>
      </c>
      <c r="AQ27" s="107">
        <f t="shared" si="10"/>
        <v>0</v>
      </c>
      <c r="AR27" s="107">
        <f t="shared" si="10"/>
        <v>0</v>
      </c>
      <c r="AS27" s="107">
        <f t="shared" si="10"/>
        <v>0</v>
      </c>
      <c r="AT27" s="107">
        <f t="shared" si="10"/>
        <v>0</v>
      </c>
      <c r="AU27" s="107">
        <f t="shared" si="10"/>
        <v>0</v>
      </c>
      <c r="AV27" s="107">
        <f t="shared" si="10"/>
        <v>0</v>
      </c>
      <c r="AW27" s="157">
        <f t="shared" si="10"/>
        <v>0</v>
      </c>
      <c r="AX27" s="139">
        <f t="shared" ref="AX27:AY27" si="11">AX25+AX18</f>
        <v>0</v>
      </c>
      <c r="AY27" s="107">
        <f t="shared" si="11"/>
        <v>0</v>
      </c>
      <c r="AZ27" s="97"/>
      <c r="BA27" s="97"/>
      <c r="BB27" s="97"/>
      <c r="BC27" s="97"/>
      <c r="BD27" s="97"/>
      <c r="BE27" s="97"/>
      <c r="BF27" s="97"/>
      <c r="BG27" s="97"/>
    </row>
    <row r="28" spans="1:59" ht="15" x14ac:dyDescent="0.35">
      <c r="A28" s="11" t="s">
        <v>32</v>
      </c>
      <c r="B28" s="81"/>
      <c r="C28" s="81"/>
      <c r="D28" s="107">
        <f t="shared" ref="D28:M28" si="12">18.4*D25</f>
        <v>167839.28</v>
      </c>
      <c r="E28" s="4">
        <f t="shared" si="12"/>
        <v>168188.88</v>
      </c>
      <c r="F28" s="156">
        <f t="shared" si="12"/>
        <v>168691.19999999998</v>
      </c>
      <c r="G28" s="107">
        <f t="shared" si="12"/>
        <v>168308.47999999998</v>
      </c>
      <c r="H28" s="107">
        <f t="shared" si="12"/>
        <v>168886.24</v>
      </c>
      <c r="I28" s="107">
        <f t="shared" si="12"/>
        <v>168720.63999999996</v>
      </c>
      <c r="J28" s="107">
        <f t="shared" si="12"/>
        <v>168514.55999999997</v>
      </c>
      <c r="K28" s="107">
        <f t="shared" si="12"/>
        <v>168702.24</v>
      </c>
      <c r="L28" s="107">
        <f t="shared" si="12"/>
        <v>168582.63999999998</v>
      </c>
      <c r="M28" s="107">
        <f t="shared" si="12"/>
        <v>168591.84</v>
      </c>
      <c r="N28" s="107">
        <f t="shared" ref="N28:Y28" si="13">18.4*N25</f>
        <v>168124.48</v>
      </c>
      <c r="O28" s="157">
        <f t="shared" si="13"/>
        <v>168163.12</v>
      </c>
      <c r="P28" s="156">
        <f t="shared" si="13"/>
        <v>168277.19999999998</v>
      </c>
      <c r="Q28" s="107">
        <f t="shared" si="13"/>
        <v>168547.68</v>
      </c>
      <c r="R28" s="107">
        <f t="shared" si="13"/>
        <v>168299.28</v>
      </c>
      <c r="S28" s="107">
        <f t="shared" si="13"/>
        <v>168293.75999999998</v>
      </c>
      <c r="T28" s="107">
        <f t="shared" si="13"/>
        <v>167986.48</v>
      </c>
      <c r="U28" s="107">
        <f t="shared" si="13"/>
        <v>168028.79999999999</v>
      </c>
      <c r="V28" s="107">
        <f t="shared" si="13"/>
        <v>168098.72</v>
      </c>
      <c r="W28" s="107">
        <f t="shared" si="13"/>
        <v>168026.96</v>
      </c>
      <c r="X28" s="107">
        <f t="shared" si="13"/>
        <v>168093.19999999998</v>
      </c>
      <c r="Y28" s="157">
        <f t="shared" si="13"/>
        <v>168396.79999999999</v>
      </c>
      <c r="Z28" s="208">
        <f t="shared" ref="Z28:AW28" si="14">18.4*Z25</f>
        <v>0</v>
      </c>
      <c r="AA28" s="209">
        <f t="shared" si="14"/>
        <v>0</v>
      </c>
      <c r="AB28" s="107">
        <f t="shared" si="14"/>
        <v>174330.8</v>
      </c>
      <c r="AC28" s="4">
        <f t="shared" si="14"/>
        <v>173637.12</v>
      </c>
      <c r="AD28" s="156">
        <f t="shared" si="14"/>
        <v>173903.91999999998</v>
      </c>
      <c r="AE28" s="107">
        <f t="shared" si="14"/>
        <v>173742</v>
      </c>
      <c r="AF28" s="107">
        <f t="shared" si="14"/>
        <v>173778.8</v>
      </c>
      <c r="AG28" s="107">
        <f t="shared" si="14"/>
        <v>173219.44</v>
      </c>
      <c r="AH28" s="107">
        <f t="shared" si="14"/>
        <v>174222.24</v>
      </c>
      <c r="AI28" s="107">
        <f t="shared" si="14"/>
        <v>173916.79999999999</v>
      </c>
      <c r="AJ28" s="107">
        <f t="shared" si="14"/>
        <v>173302.24</v>
      </c>
      <c r="AK28" s="107">
        <f t="shared" si="14"/>
        <v>173151.35999999999</v>
      </c>
      <c r="AL28" s="107">
        <f t="shared" si="14"/>
        <v>0</v>
      </c>
      <c r="AM28" s="157">
        <f t="shared" si="14"/>
        <v>0</v>
      </c>
      <c r="AN28" s="156">
        <f t="shared" si="14"/>
        <v>0</v>
      </c>
      <c r="AO28" s="107">
        <f t="shared" si="14"/>
        <v>0</v>
      </c>
      <c r="AP28" s="107">
        <f t="shared" si="14"/>
        <v>0</v>
      </c>
      <c r="AQ28" s="107">
        <f t="shared" si="14"/>
        <v>0</v>
      </c>
      <c r="AR28" s="107">
        <f t="shared" si="14"/>
        <v>0</v>
      </c>
      <c r="AS28" s="107">
        <f t="shared" si="14"/>
        <v>0</v>
      </c>
      <c r="AT28" s="107">
        <f t="shared" si="14"/>
        <v>0</v>
      </c>
      <c r="AU28" s="107">
        <f t="shared" si="14"/>
        <v>0</v>
      </c>
      <c r="AV28" s="107">
        <f t="shared" si="14"/>
        <v>0</v>
      </c>
      <c r="AW28" s="157">
        <f t="shared" si="14"/>
        <v>0</v>
      </c>
      <c r="AX28" s="139">
        <f t="shared" ref="AX28:AY28" si="15">18.4*AX25</f>
        <v>0</v>
      </c>
      <c r="AY28" s="107">
        <f t="shared" si="15"/>
        <v>0</v>
      </c>
      <c r="AZ28" s="97"/>
      <c r="BA28" s="97"/>
      <c r="BB28" s="97"/>
      <c r="BC28" s="97"/>
      <c r="BD28" s="97"/>
      <c r="BE28" s="97"/>
      <c r="BF28" s="97"/>
      <c r="BG28" s="97"/>
    </row>
    <row r="29" spans="1:59" ht="20.5" x14ac:dyDescent="0.35">
      <c r="A29" s="120" t="s">
        <v>33</v>
      </c>
      <c r="B29" s="121">
        <v>0.3749227722681463</v>
      </c>
      <c r="C29" s="122">
        <v>0.3761873532607769</v>
      </c>
      <c r="D29" s="108">
        <f t="shared" ref="D29:M29" si="16">(((D28/D27)-8.1)/20)</f>
        <v>0.32468523928770165</v>
      </c>
      <c r="E29" s="132">
        <f t="shared" si="16"/>
        <v>0.32641500326157863</v>
      </c>
      <c r="F29" s="158">
        <f>(((F28/F27)-8.1)/20)</f>
        <v>0.32835709876274854</v>
      </c>
      <c r="G29" s="108">
        <f t="shared" si="16"/>
        <v>0.32609576307261945</v>
      </c>
      <c r="H29" s="108">
        <f t="shared" si="16"/>
        <v>0.32904544585267476</v>
      </c>
      <c r="I29" s="108">
        <f t="shared" si="16"/>
        <v>0.32840856335579216</v>
      </c>
      <c r="J29" s="108">
        <f t="shared" si="16"/>
        <v>0.32721357063403778</v>
      </c>
      <c r="K29" s="108">
        <f t="shared" si="16"/>
        <v>0.32830945508919573</v>
      </c>
      <c r="L29" s="108">
        <f>(((L28/L27)-8.1)/20)</f>
        <v>0.32742664117825948</v>
      </c>
      <c r="M29" s="108">
        <f t="shared" si="16"/>
        <v>0.3274029714583605</v>
      </c>
      <c r="N29" s="108">
        <f>(((N28/N27)-8.1)/20)</f>
        <v>0.32596328759499837</v>
      </c>
      <c r="O29" s="159">
        <f t="shared" ref="O29:W29" si="17">(((O28/O27)-8.1)/20)</f>
        <v>0.32581354517957095</v>
      </c>
      <c r="P29" s="158">
        <f t="shared" si="17"/>
        <v>0.32643011135934907</v>
      </c>
      <c r="Q29" s="108">
        <f t="shared" si="17"/>
        <v>0.32765035731052106</v>
      </c>
      <c r="R29" s="108">
        <f t="shared" si="17"/>
        <v>0.32644978052066581</v>
      </c>
      <c r="S29" s="108">
        <f t="shared" si="17"/>
        <v>0.32637493155328412</v>
      </c>
      <c r="T29" s="108">
        <f t="shared" si="17"/>
        <v>0.32510300496336153</v>
      </c>
      <c r="U29" s="108">
        <f t="shared" si="17"/>
        <v>0.32530598052851178</v>
      </c>
      <c r="V29" s="108">
        <f t="shared" si="17"/>
        <v>0.32559717320630721</v>
      </c>
      <c r="W29" s="108">
        <f t="shared" si="17"/>
        <v>0.3253043315745095</v>
      </c>
      <c r="X29" s="108">
        <f>(((X28/X27)-8.1)/20)</f>
        <v>0.32568115627037592</v>
      </c>
      <c r="Y29" s="159">
        <f t="shared" ref="Y29" si="18">(((Y28/Y27)-8.1)/20)</f>
        <v>0.32694996218476441</v>
      </c>
      <c r="Z29" s="210" t="e">
        <f>(((Z28/Z27)-8.1)/20)</f>
        <v>#DIV/0!</v>
      </c>
      <c r="AA29" s="211" t="e">
        <f t="shared" ref="AA29:AC29" si="19">(((AA28/AA27)-8.1)/20)</f>
        <v>#DIV/0!</v>
      </c>
      <c r="AB29" s="108">
        <f t="shared" si="19"/>
        <v>0.33023174897726787</v>
      </c>
      <c r="AC29" s="132">
        <f t="shared" si="19"/>
        <v>0.32729383334598544</v>
      </c>
      <c r="AD29" s="158">
        <f>(((AD28/AD27)-8.1)/20)</f>
        <v>0.32854896402780592</v>
      </c>
      <c r="AE29" s="108">
        <f t="shared" ref="AE29:AI29" si="20">(((AE28/AE27)-8.1)/20)</f>
        <v>0.32811335403726705</v>
      </c>
      <c r="AF29" s="108">
        <f t="shared" si="20"/>
        <v>0.32839241702960936</v>
      </c>
      <c r="AG29" s="108">
        <f t="shared" si="20"/>
        <v>0.32627249086011972</v>
      </c>
      <c r="AH29" s="108">
        <f t="shared" si="20"/>
        <v>0.32961279631644186</v>
      </c>
      <c r="AI29" s="108">
        <f t="shared" si="20"/>
        <v>0.32820123776359383</v>
      </c>
      <c r="AJ29" s="108">
        <f>(((AJ28/AJ27)-8.1)/20)</f>
        <v>0.32534557162604083</v>
      </c>
      <c r="AK29" s="108">
        <f t="shared" ref="AK29" si="21">(((AK28/AK27)-8.1)/20)</f>
        <v>0.3249127399650959</v>
      </c>
      <c r="AL29" s="108" t="e">
        <f>(((AL28/AL27)-8.1)/20)</f>
        <v>#DIV/0!</v>
      </c>
      <c r="AM29" s="159" t="e">
        <f t="shared" ref="AM29:AU29" si="22">(((AM28/AM27)-8.1)/20)</f>
        <v>#DIV/0!</v>
      </c>
      <c r="AN29" s="158" t="e">
        <f t="shared" si="22"/>
        <v>#DIV/0!</v>
      </c>
      <c r="AO29" s="108" t="e">
        <f t="shared" si="22"/>
        <v>#DIV/0!</v>
      </c>
      <c r="AP29" s="108" t="e">
        <f t="shared" si="22"/>
        <v>#DIV/0!</v>
      </c>
      <c r="AQ29" s="108" t="e">
        <f t="shared" si="22"/>
        <v>#DIV/0!</v>
      </c>
      <c r="AR29" s="108" t="e">
        <f t="shared" si="22"/>
        <v>#DIV/0!</v>
      </c>
      <c r="AS29" s="108" t="e">
        <f t="shared" si="22"/>
        <v>#DIV/0!</v>
      </c>
      <c r="AT29" s="108" t="e">
        <f t="shared" si="22"/>
        <v>#DIV/0!</v>
      </c>
      <c r="AU29" s="108" t="e">
        <f t="shared" si="22"/>
        <v>#DIV/0!</v>
      </c>
      <c r="AV29" s="108" t="e">
        <f>(((AV28/AV27)-8.1)/20)</f>
        <v>#DIV/0!</v>
      </c>
      <c r="AW29" s="159" t="e">
        <f t="shared" ref="AW29" si="23">(((AW28/AW27)-8.1)/20)</f>
        <v>#DIV/0!</v>
      </c>
      <c r="AX29" s="140" t="e">
        <f>(((AX28/AX27)-8.1)/20)</f>
        <v>#DIV/0!</v>
      </c>
      <c r="AY29" s="108" t="e">
        <f t="shared" ref="AY29" si="24">(((AY28/AY27)-8.1)/20)</f>
        <v>#DIV/0!</v>
      </c>
      <c r="AZ29" s="98"/>
      <c r="BA29" s="98"/>
      <c r="BB29" s="98"/>
      <c r="BC29" s="98"/>
      <c r="BD29" s="98"/>
      <c r="BE29" s="98"/>
      <c r="BF29" s="98"/>
      <c r="BG29" s="98"/>
    </row>
    <row r="30" spans="1:59" x14ac:dyDescent="0.35">
      <c r="A30" s="123"/>
      <c r="B30" s="81"/>
      <c r="C30" s="81"/>
      <c r="D30" s="106"/>
      <c r="E30" s="131"/>
      <c r="F30" s="154"/>
      <c r="G30" s="106"/>
      <c r="H30" s="106"/>
      <c r="I30" s="106"/>
      <c r="J30" s="106"/>
      <c r="K30" s="106"/>
      <c r="L30" s="106"/>
      <c r="M30" s="106"/>
      <c r="N30" s="106"/>
      <c r="O30" s="155"/>
      <c r="P30" s="154"/>
      <c r="Q30" s="106"/>
      <c r="R30" s="106"/>
      <c r="S30" s="106"/>
      <c r="T30" s="106"/>
      <c r="U30" s="106"/>
      <c r="V30" s="106"/>
      <c r="W30" s="106"/>
      <c r="X30" s="106"/>
      <c r="Y30" s="155"/>
      <c r="Z30" s="202"/>
      <c r="AA30" s="203"/>
      <c r="AB30" s="106"/>
      <c r="AC30" s="131"/>
      <c r="AD30" s="154"/>
      <c r="AE30" s="106"/>
      <c r="AF30" s="106"/>
      <c r="AG30" s="106"/>
      <c r="AH30" s="106"/>
      <c r="AI30" s="106"/>
      <c r="AJ30" s="106"/>
      <c r="AK30" s="106"/>
      <c r="AL30" s="106"/>
      <c r="AM30" s="155"/>
      <c r="AN30" s="154"/>
      <c r="AO30" s="106"/>
      <c r="AP30" s="106"/>
      <c r="AQ30" s="106"/>
      <c r="AR30" s="106"/>
      <c r="AS30" s="106"/>
      <c r="AT30" s="106"/>
      <c r="AU30" s="106"/>
      <c r="AV30" s="106"/>
      <c r="AW30" s="155"/>
      <c r="AX30" s="138"/>
      <c r="AY30" s="106"/>
      <c r="AZ30" s="19"/>
      <c r="BA30" s="19"/>
      <c r="BB30" s="19"/>
      <c r="BC30" s="19"/>
      <c r="BD30" s="19"/>
      <c r="BE30" s="19"/>
      <c r="BF30" s="19"/>
      <c r="BG30" s="19"/>
    </row>
    <row r="31" spans="1:59" ht="15.5" x14ac:dyDescent="0.35">
      <c r="A31" s="11" t="s">
        <v>34</v>
      </c>
      <c r="B31" s="117">
        <v>2206.1000000000004</v>
      </c>
      <c r="C31" s="118">
        <v>2210.2166666666667</v>
      </c>
      <c r="D31" s="62">
        <f t="shared" ref="D31:M31" si="25">D13+D20</f>
        <v>2345.6</v>
      </c>
      <c r="E31" s="5">
        <f t="shared" si="25"/>
        <v>2408.9</v>
      </c>
      <c r="F31" s="61">
        <f t="shared" si="25"/>
        <v>2226.9</v>
      </c>
      <c r="G31" s="62">
        <f t="shared" si="25"/>
        <v>2254.1</v>
      </c>
      <c r="H31" s="62">
        <f t="shared" si="25"/>
        <v>2256.6</v>
      </c>
      <c r="I31" s="62">
        <f t="shared" si="25"/>
        <v>2313.9</v>
      </c>
      <c r="J31" s="62">
        <f t="shared" si="25"/>
        <v>2269.6</v>
      </c>
      <c r="K31" s="62">
        <f t="shared" si="25"/>
        <v>2312.6999999999998</v>
      </c>
      <c r="L31" s="62">
        <f t="shared" si="25"/>
        <v>2267.7000000000003</v>
      </c>
      <c r="M31" s="62">
        <f t="shared" si="25"/>
        <v>2279.5</v>
      </c>
      <c r="N31" s="62">
        <f t="shared" ref="N31:Y31" si="26">N13+N20</f>
        <v>2197.8000000000002</v>
      </c>
      <c r="O31" s="63">
        <f t="shared" si="26"/>
        <v>2205</v>
      </c>
      <c r="P31" s="61">
        <f t="shared" si="26"/>
        <v>2186.6999999999998</v>
      </c>
      <c r="Q31" s="62">
        <f t="shared" si="26"/>
        <v>2333.9</v>
      </c>
      <c r="R31" s="62">
        <f t="shared" si="26"/>
        <v>2216.8000000000002</v>
      </c>
      <c r="S31" s="62">
        <f t="shared" si="26"/>
        <v>2300</v>
      </c>
      <c r="T31" s="62">
        <f t="shared" si="26"/>
        <v>2215.3000000000002</v>
      </c>
      <c r="U31" s="62">
        <f t="shared" si="26"/>
        <v>2355.6</v>
      </c>
      <c r="V31" s="62">
        <f t="shared" si="26"/>
        <v>2304.5</v>
      </c>
      <c r="W31" s="62">
        <f t="shared" si="26"/>
        <v>2269.5</v>
      </c>
      <c r="X31" s="62">
        <f t="shared" si="26"/>
        <v>2215.9</v>
      </c>
      <c r="Y31" s="63">
        <f t="shared" si="26"/>
        <v>2245.3000000000002</v>
      </c>
      <c r="Z31" s="212">
        <f t="shared" ref="Z31:AW31" si="27">Z13+Z20</f>
        <v>0</v>
      </c>
      <c r="AA31" s="213">
        <f t="shared" si="27"/>
        <v>0</v>
      </c>
      <c r="AB31" s="62">
        <f t="shared" si="27"/>
        <v>2323.1999999999998</v>
      </c>
      <c r="AC31" s="5">
        <f t="shared" si="27"/>
        <v>2239.4</v>
      </c>
      <c r="AD31" s="61">
        <f t="shared" si="27"/>
        <v>2212.5</v>
      </c>
      <c r="AE31" s="62">
        <f t="shared" si="27"/>
        <v>2300.6</v>
      </c>
      <c r="AF31" s="62">
        <f t="shared" si="27"/>
        <v>2275.1</v>
      </c>
      <c r="AG31" s="62">
        <f t="shared" si="27"/>
        <v>2185.4</v>
      </c>
      <c r="AH31" s="62">
        <f t="shared" si="27"/>
        <v>2253.1</v>
      </c>
      <c r="AI31" s="62">
        <f t="shared" si="27"/>
        <v>2283.9</v>
      </c>
      <c r="AJ31" s="62">
        <f t="shared" si="27"/>
        <v>2223.3000000000002</v>
      </c>
      <c r="AK31" s="62">
        <f t="shared" si="27"/>
        <v>2132.9</v>
      </c>
      <c r="AL31" s="62">
        <f t="shared" si="27"/>
        <v>0</v>
      </c>
      <c r="AM31" s="63">
        <f t="shared" si="27"/>
        <v>0</v>
      </c>
      <c r="AN31" s="61">
        <f t="shared" si="27"/>
        <v>0</v>
      </c>
      <c r="AO31" s="62">
        <f t="shared" si="27"/>
        <v>0</v>
      </c>
      <c r="AP31" s="62">
        <f t="shared" si="27"/>
        <v>0</v>
      </c>
      <c r="AQ31" s="62">
        <f t="shared" si="27"/>
        <v>0</v>
      </c>
      <c r="AR31" s="62">
        <f t="shared" si="27"/>
        <v>0</v>
      </c>
      <c r="AS31" s="62">
        <f t="shared" si="27"/>
        <v>0</v>
      </c>
      <c r="AT31" s="62">
        <f t="shared" si="27"/>
        <v>0</v>
      </c>
      <c r="AU31" s="62">
        <f t="shared" si="27"/>
        <v>0</v>
      </c>
      <c r="AV31" s="62">
        <f t="shared" si="27"/>
        <v>0</v>
      </c>
      <c r="AW31" s="63">
        <f t="shared" si="27"/>
        <v>0</v>
      </c>
      <c r="AX31" s="141">
        <f t="shared" ref="AX31:AY31" si="28">AX13+AX20</f>
        <v>0</v>
      </c>
      <c r="AY31" s="62">
        <f t="shared" si="28"/>
        <v>0</v>
      </c>
      <c r="AZ31" s="99"/>
      <c r="BA31" s="99"/>
      <c r="BB31" s="99"/>
      <c r="BC31" s="99"/>
      <c r="BD31" s="99"/>
      <c r="BE31" s="99"/>
      <c r="BF31" s="99"/>
      <c r="BG31" s="99"/>
    </row>
    <row r="32" spans="1:59" ht="15.5" x14ac:dyDescent="0.35">
      <c r="A32" s="11" t="s">
        <v>35</v>
      </c>
      <c r="B32" s="117">
        <v>1840.5</v>
      </c>
      <c r="C32" s="118">
        <v>1823.6666666666667</v>
      </c>
      <c r="D32" s="62">
        <f t="shared" ref="D32:M32" si="29">D14+D21</f>
        <v>1482</v>
      </c>
      <c r="E32" s="5">
        <f t="shared" si="29"/>
        <v>1392.1000000000001</v>
      </c>
      <c r="F32" s="61">
        <f t="shared" si="29"/>
        <v>1694</v>
      </c>
      <c r="G32" s="62">
        <f t="shared" si="29"/>
        <v>1704</v>
      </c>
      <c r="H32" s="62">
        <f t="shared" si="29"/>
        <v>1609</v>
      </c>
      <c r="I32" s="62">
        <f t="shared" si="29"/>
        <v>1541</v>
      </c>
      <c r="J32" s="62">
        <f t="shared" si="29"/>
        <v>1632</v>
      </c>
      <c r="K32" s="62">
        <f t="shared" si="29"/>
        <v>1565</v>
      </c>
      <c r="L32" s="62">
        <f t="shared" si="29"/>
        <v>1639</v>
      </c>
      <c r="M32" s="62">
        <f t="shared" si="29"/>
        <v>1578</v>
      </c>
      <c r="N32" s="62">
        <f t="shared" ref="N32:Y32" si="30">N14+N21</f>
        <v>1684</v>
      </c>
      <c r="O32" s="63">
        <f t="shared" si="30"/>
        <v>1653</v>
      </c>
      <c r="P32" s="61">
        <f t="shared" si="30"/>
        <v>1681</v>
      </c>
      <c r="Q32" s="62">
        <f t="shared" si="30"/>
        <v>1530</v>
      </c>
      <c r="R32" s="62">
        <f t="shared" si="30"/>
        <v>1672</v>
      </c>
      <c r="S32" s="62">
        <f t="shared" si="30"/>
        <v>1575</v>
      </c>
      <c r="T32" s="62">
        <f t="shared" si="30"/>
        <v>1646.4</v>
      </c>
      <c r="U32" s="62">
        <f t="shared" si="30"/>
        <v>1520</v>
      </c>
      <c r="V32" s="62">
        <f t="shared" si="30"/>
        <v>1563</v>
      </c>
      <c r="W32" s="62">
        <f t="shared" si="30"/>
        <v>1556</v>
      </c>
      <c r="X32" s="62">
        <f t="shared" si="30"/>
        <v>1699</v>
      </c>
      <c r="Y32" s="63">
        <f t="shared" si="30"/>
        <v>1644</v>
      </c>
      <c r="Z32" s="212">
        <f t="shared" ref="Z32:AW32" si="31">Z14+Z21</f>
        <v>0</v>
      </c>
      <c r="AA32" s="213">
        <f t="shared" si="31"/>
        <v>0</v>
      </c>
      <c r="AB32" s="62">
        <f t="shared" si="31"/>
        <v>1837.1</v>
      </c>
      <c r="AC32" s="5">
        <f t="shared" si="31"/>
        <v>1923.8</v>
      </c>
      <c r="AD32" s="61">
        <f t="shared" si="31"/>
        <v>1975.1000000000001</v>
      </c>
      <c r="AE32" s="62">
        <f t="shared" si="31"/>
        <v>1912</v>
      </c>
      <c r="AF32" s="62">
        <f t="shared" si="31"/>
        <v>1882.6</v>
      </c>
      <c r="AG32" s="62">
        <f t="shared" si="31"/>
        <v>2045.7</v>
      </c>
      <c r="AH32" s="62">
        <f t="shared" si="31"/>
        <v>1926</v>
      </c>
      <c r="AI32" s="62">
        <f t="shared" si="31"/>
        <v>1976.6999999999998</v>
      </c>
      <c r="AJ32" s="62">
        <f t="shared" si="31"/>
        <v>2026</v>
      </c>
      <c r="AK32" s="62">
        <f t="shared" si="31"/>
        <v>2158</v>
      </c>
      <c r="AL32" s="62">
        <f t="shared" si="31"/>
        <v>0</v>
      </c>
      <c r="AM32" s="63">
        <f t="shared" si="31"/>
        <v>0</v>
      </c>
      <c r="AN32" s="61">
        <f t="shared" si="31"/>
        <v>0</v>
      </c>
      <c r="AO32" s="62">
        <f t="shared" si="31"/>
        <v>0</v>
      </c>
      <c r="AP32" s="62">
        <f t="shared" si="31"/>
        <v>0</v>
      </c>
      <c r="AQ32" s="62">
        <f t="shared" si="31"/>
        <v>0</v>
      </c>
      <c r="AR32" s="62">
        <f t="shared" si="31"/>
        <v>0</v>
      </c>
      <c r="AS32" s="62">
        <f t="shared" si="31"/>
        <v>0</v>
      </c>
      <c r="AT32" s="62">
        <f t="shared" si="31"/>
        <v>0</v>
      </c>
      <c r="AU32" s="62">
        <f t="shared" si="31"/>
        <v>0</v>
      </c>
      <c r="AV32" s="62">
        <f t="shared" si="31"/>
        <v>0</v>
      </c>
      <c r="AW32" s="63">
        <f t="shared" si="31"/>
        <v>0</v>
      </c>
      <c r="AX32" s="141">
        <f t="shared" ref="AX32:AY32" si="32">AX14+AX21</f>
        <v>0</v>
      </c>
      <c r="AY32" s="62">
        <f t="shared" si="32"/>
        <v>0</v>
      </c>
      <c r="AZ32" s="99"/>
      <c r="BA32" s="99"/>
      <c r="BB32" s="99"/>
      <c r="BC32" s="99"/>
      <c r="BD32" s="99"/>
      <c r="BE32" s="99"/>
      <c r="BF32" s="99"/>
      <c r="BG32" s="99"/>
    </row>
    <row r="33" spans="1:59" ht="15.5" x14ac:dyDescent="0.35">
      <c r="A33" s="11" t="s">
        <v>36</v>
      </c>
      <c r="B33" s="117">
        <v>3246.4333333333329</v>
      </c>
      <c r="C33" s="118">
        <v>3239.2166666666667</v>
      </c>
      <c r="D33" s="62">
        <f t="shared" ref="D33:M33" si="33">D15+D22</f>
        <v>3570.2</v>
      </c>
      <c r="E33" s="5">
        <f t="shared" si="33"/>
        <v>3645.6</v>
      </c>
      <c r="F33" s="61">
        <f t="shared" si="33"/>
        <v>3630.2</v>
      </c>
      <c r="G33" s="62">
        <f t="shared" si="33"/>
        <v>3668.4</v>
      </c>
      <c r="H33" s="62">
        <f t="shared" si="33"/>
        <v>3654.2</v>
      </c>
      <c r="I33" s="62">
        <f t="shared" si="33"/>
        <v>3689.2</v>
      </c>
      <c r="J33" s="62">
        <f t="shared" si="33"/>
        <v>3593.3</v>
      </c>
      <c r="K33" s="62">
        <f t="shared" si="33"/>
        <v>3609.1</v>
      </c>
      <c r="L33" s="62">
        <f t="shared" si="33"/>
        <v>3638.6000000000004</v>
      </c>
      <c r="M33" s="62">
        <f t="shared" si="33"/>
        <v>3663.5</v>
      </c>
      <c r="N33" s="62">
        <f t="shared" ref="N33:Y33" si="34">N15+N22</f>
        <v>3650.4</v>
      </c>
      <c r="O33" s="63">
        <f t="shared" si="34"/>
        <v>3712.4</v>
      </c>
      <c r="P33" s="61">
        <f t="shared" si="34"/>
        <v>3760.1</v>
      </c>
      <c r="Q33" s="62">
        <f t="shared" si="34"/>
        <v>3611.9</v>
      </c>
      <c r="R33" s="62">
        <f t="shared" si="34"/>
        <v>3696.9</v>
      </c>
      <c r="S33" s="62">
        <f t="shared" si="34"/>
        <v>3657.5</v>
      </c>
      <c r="T33" s="62">
        <f t="shared" si="34"/>
        <v>3677.5</v>
      </c>
      <c r="U33" s="62">
        <f t="shared" si="34"/>
        <v>3666.8</v>
      </c>
      <c r="V33" s="62">
        <f t="shared" si="34"/>
        <v>3682.7</v>
      </c>
      <c r="W33" s="62">
        <f t="shared" si="34"/>
        <v>3698.9</v>
      </c>
      <c r="X33" s="62">
        <f t="shared" si="34"/>
        <v>3620.6</v>
      </c>
      <c r="Y33" s="63">
        <f t="shared" si="34"/>
        <v>3650.9</v>
      </c>
      <c r="Z33" s="212">
        <f t="shared" ref="Z33:AW33" si="35">Z15+Z22</f>
        <v>0</v>
      </c>
      <c r="AA33" s="213">
        <f t="shared" si="35"/>
        <v>0</v>
      </c>
      <c r="AB33" s="62">
        <f t="shared" si="35"/>
        <v>3589.6</v>
      </c>
      <c r="AC33" s="5">
        <f t="shared" si="35"/>
        <v>3607.2</v>
      </c>
      <c r="AD33" s="61">
        <f t="shared" si="35"/>
        <v>3592</v>
      </c>
      <c r="AE33" s="62">
        <f t="shared" si="35"/>
        <v>3520.7</v>
      </c>
      <c r="AF33" s="62">
        <f t="shared" si="35"/>
        <v>3608.2</v>
      </c>
      <c r="AG33" s="62">
        <f t="shared" si="35"/>
        <v>3497.2</v>
      </c>
      <c r="AH33" s="62">
        <f t="shared" si="35"/>
        <v>3644</v>
      </c>
      <c r="AI33" s="62">
        <f t="shared" si="35"/>
        <v>3429.9</v>
      </c>
      <c r="AJ33" s="62">
        <f t="shared" si="35"/>
        <v>3495</v>
      </c>
      <c r="AK33" s="62">
        <f t="shared" si="35"/>
        <v>3490</v>
      </c>
      <c r="AL33" s="62">
        <f t="shared" si="35"/>
        <v>0</v>
      </c>
      <c r="AM33" s="63">
        <f t="shared" si="35"/>
        <v>0</v>
      </c>
      <c r="AN33" s="61">
        <f t="shared" si="35"/>
        <v>0</v>
      </c>
      <c r="AO33" s="62">
        <f t="shared" si="35"/>
        <v>0</v>
      </c>
      <c r="AP33" s="62">
        <f t="shared" si="35"/>
        <v>0</v>
      </c>
      <c r="AQ33" s="62">
        <f t="shared" si="35"/>
        <v>0</v>
      </c>
      <c r="AR33" s="62">
        <f t="shared" si="35"/>
        <v>0</v>
      </c>
      <c r="AS33" s="62">
        <f t="shared" si="35"/>
        <v>0</v>
      </c>
      <c r="AT33" s="62">
        <f t="shared" si="35"/>
        <v>0</v>
      </c>
      <c r="AU33" s="62">
        <f t="shared" si="35"/>
        <v>0</v>
      </c>
      <c r="AV33" s="62">
        <f t="shared" si="35"/>
        <v>0</v>
      </c>
      <c r="AW33" s="63">
        <f t="shared" si="35"/>
        <v>0</v>
      </c>
      <c r="AX33" s="141">
        <f t="shared" ref="AX33:AY33" si="36">AX15+AX22</f>
        <v>0</v>
      </c>
      <c r="AY33" s="62">
        <f t="shared" si="36"/>
        <v>0</v>
      </c>
      <c r="AZ33" s="99"/>
      <c r="BA33" s="99"/>
      <c r="BB33" s="99"/>
      <c r="BC33" s="99"/>
      <c r="BD33" s="99"/>
      <c r="BE33" s="99"/>
      <c r="BF33" s="99"/>
      <c r="BG33" s="99"/>
    </row>
    <row r="34" spans="1:59" ht="15.5" x14ac:dyDescent="0.35">
      <c r="A34" s="11" t="s">
        <v>37</v>
      </c>
      <c r="B34" s="117">
        <v>1867.05</v>
      </c>
      <c r="C34" s="118">
        <v>1897.0166666666671</v>
      </c>
      <c r="D34" s="62">
        <f t="shared" ref="D34:M34" si="37">D16+D23</f>
        <v>2033</v>
      </c>
      <c r="E34" s="5">
        <f t="shared" si="37"/>
        <v>1896</v>
      </c>
      <c r="F34" s="61">
        <f t="shared" si="37"/>
        <v>1744.6</v>
      </c>
      <c r="G34" s="62">
        <f t="shared" si="37"/>
        <v>1528.6</v>
      </c>
      <c r="H34" s="62">
        <f t="shared" si="37"/>
        <v>1849.3</v>
      </c>
      <c r="I34" s="62">
        <f t="shared" si="37"/>
        <v>1747.4</v>
      </c>
      <c r="J34" s="62">
        <f t="shared" si="37"/>
        <v>1849.6000000000001</v>
      </c>
      <c r="K34" s="62">
        <f t="shared" si="37"/>
        <v>1837</v>
      </c>
      <c r="L34" s="62">
        <f t="shared" si="37"/>
        <v>1745.6</v>
      </c>
      <c r="M34" s="62">
        <f t="shared" si="37"/>
        <v>1823.3</v>
      </c>
      <c r="N34" s="62">
        <f t="shared" ref="N34:Y34" si="38">N16+N23</f>
        <v>1849.1999999999998</v>
      </c>
      <c r="O34" s="63">
        <f t="shared" si="38"/>
        <v>1803</v>
      </c>
      <c r="P34" s="61">
        <f t="shared" si="38"/>
        <v>1692</v>
      </c>
      <c r="Q34" s="62">
        <f t="shared" si="38"/>
        <v>1849.5</v>
      </c>
      <c r="R34" s="62">
        <f t="shared" si="38"/>
        <v>1728.3999999999999</v>
      </c>
      <c r="S34" s="62">
        <f t="shared" si="38"/>
        <v>1770</v>
      </c>
      <c r="T34" s="62">
        <f t="shared" si="38"/>
        <v>1639.1</v>
      </c>
      <c r="U34" s="62">
        <f t="shared" si="38"/>
        <v>1689.5</v>
      </c>
      <c r="V34" s="62">
        <f t="shared" si="38"/>
        <v>1735.6000000000001</v>
      </c>
      <c r="W34" s="62">
        <f t="shared" si="38"/>
        <v>1865.2</v>
      </c>
      <c r="X34" s="62">
        <f t="shared" si="38"/>
        <v>1807.7</v>
      </c>
      <c r="Y34" s="63">
        <f t="shared" si="38"/>
        <v>1794.1000000000001</v>
      </c>
      <c r="Z34" s="212">
        <f t="shared" ref="Z34:AW34" si="39">Z16+Z23</f>
        <v>0</v>
      </c>
      <c r="AA34" s="213">
        <f t="shared" si="39"/>
        <v>0</v>
      </c>
      <c r="AB34" s="62">
        <f t="shared" si="39"/>
        <v>1724.5</v>
      </c>
      <c r="AC34" s="5">
        <f t="shared" si="39"/>
        <v>1763</v>
      </c>
      <c r="AD34" s="61">
        <f t="shared" si="39"/>
        <v>1746.4</v>
      </c>
      <c r="AE34" s="62">
        <f t="shared" si="39"/>
        <v>1722.4</v>
      </c>
      <c r="AF34" s="62">
        <f t="shared" si="39"/>
        <v>1723.4</v>
      </c>
      <c r="AG34" s="62">
        <f t="shared" si="39"/>
        <v>1810.7</v>
      </c>
      <c r="AH34" s="62">
        <f t="shared" si="39"/>
        <v>1627.3</v>
      </c>
      <c r="AI34" s="62">
        <f t="shared" si="39"/>
        <v>1798.4</v>
      </c>
      <c r="AJ34" s="62">
        <f t="shared" si="39"/>
        <v>1776.5</v>
      </c>
      <c r="AK34" s="62">
        <f t="shared" si="39"/>
        <v>1740.5</v>
      </c>
      <c r="AL34" s="62">
        <f t="shared" si="39"/>
        <v>0</v>
      </c>
      <c r="AM34" s="63">
        <f t="shared" si="39"/>
        <v>0</v>
      </c>
      <c r="AN34" s="61">
        <f t="shared" si="39"/>
        <v>0</v>
      </c>
      <c r="AO34" s="62">
        <f t="shared" si="39"/>
        <v>0</v>
      </c>
      <c r="AP34" s="62">
        <f t="shared" si="39"/>
        <v>0</v>
      </c>
      <c r="AQ34" s="62">
        <f t="shared" si="39"/>
        <v>0</v>
      </c>
      <c r="AR34" s="62">
        <f t="shared" si="39"/>
        <v>0</v>
      </c>
      <c r="AS34" s="62">
        <f t="shared" si="39"/>
        <v>0</v>
      </c>
      <c r="AT34" s="62">
        <f t="shared" si="39"/>
        <v>0</v>
      </c>
      <c r="AU34" s="62">
        <f t="shared" si="39"/>
        <v>0</v>
      </c>
      <c r="AV34" s="62">
        <f t="shared" si="39"/>
        <v>0</v>
      </c>
      <c r="AW34" s="63">
        <f t="shared" si="39"/>
        <v>0</v>
      </c>
      <c r="AX34" s="141">
        <f t="shared" ref="AX34:AY34" si="40">AX16+AX23</f>
        <v>0</v>
      </c>
      <c r="AY34" s="62">
        <f t="shared" si="40"/>
        <v>0</v>
      </c>
      <c r="AZ34" s="99"/>
      <c r="BA34" s="99"/>
      <c r="BB34" s="99"/>
      <c r="BC34" s="99"/>
      <c r="BD34" s="99"/>
      <c r="BE34" s="99"/>
      <c r="BF34" s="99"/>
      <c r="BG34" s="99"/>
    </row>
    <row r="35" spans="1:59" ht="15.5" x14ac:dyDescent="0.35">
      <c r="A35" s="11" t="s">
        <v>38</v>
      </c>
      <c r="B35" s="117">
        <v>2168.8333333333335</v>
      </c>
      <c r="C35" s="118">
        <v>2163.7000000000003</v>
      </c>
      <c r="D35" s="62">
        <f t="shared" ref="D35:M35" si="41">D17+D24</f>
        <v>2070</v>
      </c>
      <c r="E35" s="5">
        <f t="shared" si="41"/>
        <v>2154.9</v>
      </c>
      <c r="F35" s="61">
        <f t="shared" si="41"/>
        <v>2205.6</v>
      </c>
      <c r="G35" s="62">
        <f t="shared" si="41"/>
        <v>2355.6</v>
      </c>
      <c r="H35" s="62">
        <f t="shared" si="41"/>
        <v>2134.6999999999998</v>
      </c>
      <c r="I35" s="62">
        <f t="shared" si="41"/>
        <v>2211</v>
      </c>
      <c r="J35" s="62">
        <f t="shared" si="41"/>
        <v>2162.6999999999998</v>
      </c>
      <c r="K35" s="62">
        <f t="shared" si="41"/>
        <v>2179</v>
      </c>
      <c r="L35" s="62">
        <f t="shared" si="41"/>
        <v>2217.6</v>
      </c>
      <c r="M35" s="62">
        <f t="shared" si="41"/>
        <v>2165.1999999999998</v>
      </c>
      <c r="N35" s="62">
        <f t="shared" ref="N35:Y35" si="42">N17+N24</f>
        <v>2118.8000000000002</v>
      </c>
      <c r="O35" s="63">
        <f t="shared" si="42"/>
        <v>2131.8000000000002</v>
      </c>
      <c r="P35" s="61">
        <f t="shared" si="42"/>
        <v>2183.5</v>
      </c>
      <c r="Q35" s="62">
        <f t="shared" si="42"/>
        <v>2177.2999999999997</v>
      </c>
      <c r="R35" s="62">
        <f t="shared" si="42"/>
        <v>2190.4</v>
      </c>
      <c r="S35" s="62">
        <f t="shared" si="42"/>
        <v>2202.8000000000002</v>
      </c>
      <c r="T35" s="62">
        <f t="shared" si="42"/>
        <v>2326</v>
      </c>
      <c r="U35" s="62">
        <f t="shared" si="42"/>
        <v>2272.1</v>
      </c>
      <c r="V35" s="62">
        <f t="shared" si="42"/>
        <v>2218.4</v>
      </c>
      <c r="W35" s="62">
        <f t="shared" si="42"/>
        <v>2114.2999999999997</v>
      </c>
      <c r="X35" s="62">
        <f t="shared" si="42"/>
        <v>2159.3000000000002</v>
      </c>
      <c r="Y35" s="63">
        <f t="shared" si="42"/>
        <v>2169</v>
      </c>
      <c r="Z35" s="212">
        <f t="shared" ref="Z35:AW35" si="43">Z17+Z24</f>
        <v>0</v>
      </c>
      <c r="AA35" s="213">
        <f t="shared" si="43"/>
        <v>0</v>
      </c>
      <c r="AB35" s="62">
        <f t="shared" si="43"/>
        <v>2381.1</v>
      </c>
      <c r="AC35" s="5">
        <f t="shared" si="43"/>
        <v>2322.3000000000002</v>
      </c>
      <c r="AD35" s="61">
        <f t="shared" si="43"/>
        <v>2327.6</v>
      </c>
      <c r="AE35" s="62">
        <f t="shared" si="43"/>
        <v>2393.9</v>
      </c>
      <c r="AF35" s="62">
        <f t="shared" si="43"/>
        <v>2358.3000000000002</v>
      </c>
      <c r="AG35" s="62">
        <f t="shared" si="43"/>
        <v>2304.6999999999998</v>
      </c>
      <c r="AH35" s="62">
        <f t="shared" si="43"/>
        <v>2407.6999999999998</v>
      </c>
      <c r="AI35" s="62">
        <f t="shared" si="43"/>
        <v>2371.1999999999998</v>
      </c>
      <c r="AJ35" s="62">
        <f t="shared" si="43"/>
        <v>2343.6</v>
      </c>
      <c r="AK35" s="62">
        <f t="shared" si="43"/>
        <v>2339.6999999999998</v>
      </c>
      <c r="AL35" s="62">
        <f t="shared" si="43"/>
        <v>0</v>
      </c>
      <c r="AM35" s="63">
        <f t="shared" si="43"/>
        <v>0</v>
      </c>
      <c r="AN35" s="61">
        <f t="shared" si="43"/>
        <v>0</v>
      </c>
      <c r="AO35" s="62">
        <f t="shared" si="43"/>
        <v>0</v>
      </c>
      <c r="AP35" s="62">
        <f t="shared" si="43"/>
        <v>0</v>
      </c>
      <c r="AQ35" s="62">
        <f t="shared" si="43"/>
        <v>0</v>
      </c>
      <c r="AR35" s="62">
        <f t="shared" si="43"/>
        <v>0</v>
      </c>
      <c r="AS35" s="62">
        <f t="shared" si="43"/>
        <v>0</v>
      </c>
      <c r="AT35" s="62">
        <f t="shared" si="43"/>
        <v>0</v>
      </c>
      <c r="AU35" s="62">
        <f t="shared" si="43"/>
        <v>0</v>
      </c>
      <c r="AV35" s="62">
        <f t="shared" si="43"/>
        <v>0</v>
      </c>
      <c r="AW35" s="63">
        <f t="shared" si="43"/>
        <v>0</v>
      </c>
      <c r="AX35" s="141">
        <f t="shared" ref="AX35:AY35" si="44">AX17+AX24</f>
        <v>0</v>
      </c>
      <c r="AY35" s="62">
        <f t="shared" si="44"/>
        <v>0</v>
      </c>
      <c r="AZ35" s="99"/>
      <c r="BA35" s="99"/>
      <c r="BB35" s="99"/>
      <c r="BC35" s="99"/>
      <c r="BD35" s="99"/>
      <c r="BE35" s="99"/>
      <c r="BF35" s="99"/>
      <c r="BG35" s="99"/>
    </row>
    <row r="36" spans="1:59" x14ac:dyDescent="0.35">
      <c r="A36" s="123"/>
      <c r="B36" s="81"/>
      <c r="C36" s="81"/>
      <c r="D36" s="109"/>
      <c r="E36" s="6"/>
      <c r="F36" s="160"/>
      <c r="G36" s="109"/>
      <c r="H36" s="109"/>
      <c r="I36" s="109"/>
      <c r="J36" s="109"/>
      <c r="K36" s="109"/>
      <c r="L36" s="109"/>
      <c r="M36" s="109"/>
      <c r="N36" s="109"/>
      <c r="O36" s="161"/>
      <c r="P36" s="160"/>
      <c r="Q36" s="109"/>
      <c r="R36" s="109"/>
      <c r="S36" s="109"/>
      <c r="T36" s="109"/>
      <c r="U36" s="109"/>
      <c r="V36" s="109"/>
      <c r="W36" s="109"/>
      <c r="X36" s="109"/>
      <c r="Y36" s="161"/>
      <c r="Z36" s="214"/>
      <c r="AA36" s="215"/>
      <c r="AB36" s="109"/>
      <c r="AC36" s="6"/>
      <c r="AD36" s="160"/>
      <c r="AE36" s="109"/>
      <c r="AF36" s="109"/>
      <c r="AG36" s="109"/>
      <c r="AH36" s="109"/>
      <c r="AI36" s="109"/>
      <c r="AJ36" s="109"/>
      <c r="AK36" s="109"/>
      <c r="AL36" s="109"/>
      <c r="AM36" s="161"/>
      <c r="AN36" s="160"/>
      <c r="AO36" s="109"/>
      <c r="AP36" s="109"/>
      <c r="AQ36" s="109"/>
      <c r="AR36" s="109"/>
      <c r="AS36" s="109"/>
      <c r="AT36" s="109"/>
      <c r="AU36" s="109"/>
      <c r="AV36" s="109"/>
      <c r="AW36" s="161"/>
      <c r="AX36" s="142"/>
      <c r="AY36" s="109"/>
      <c r="AZ36" s="17"/>
      <c r="BA36" s="17"/>
      <c r="BB36" s="17"/>
      <c r="BC36" s="17"/>
      <c r="BD36" s="17"/>
      <c r="BE36" s="17"/>
      <c r="BF36" s="17"/>
      <c r="BG36" s="17"/>
    </row>
    <row r="37" spans="1:59" ht="15" x14ac:dyDescent="0.35">
      <c r="A37" s="11" t="s">
        <v>39</v>
      </c>
      <c r="B37" s="62">
        <f t="shared" ref="B37:M37" si="45">18.4*B20</f>
        <v>34330.719999999994</v>
      </c>
      <c r="C37" s="62">
        <f>18.4*C20</f>
        <v>34787.346666666665</v>
      </c>
      <c r="D37" s="62">
        <f t="shared" si="45"/>
        <v>34713.439999999995</v>
      </c>
      <c r="E37" s="5">
        <f t="shared" si="45"/>
        <v>34071.279999999999</v>
      </c>
      <c r="F37" s="61">
        <f t="shared" si="45"/>
        <v>32107.999999999996</v>
      </c>
      <c r="G37" s="62">
        <f t="shared" si="45"/>
        <v>32529.360000000001</v>
      </c>
      <c r="H37" s="62">
        <f t="shared" si="45"/>
        <v>32142.959999999999</v>
      </c>
      <c r="I37" s="62">
        <f t="shared" si="45"/>
        <v>34098.879999999997</v>
      </c>
      <c r="J37" s="62">
        <f t="shared" si="45"/>
        <v>32656.319999999996</v>
      </c>
      <c r="K37" s="62">
        <f t="shared" si="45"/>
        <v>33810</v>
      </c>
      <c r="L37" s="62">
        <f t="shared" si="45"/>
        <v>33844.959999999999</v>
      </c>
      <c r="M37" s="62">
        <f t="shared" si="45"/>
        <v>33581.839999999997</v>
      </c>
      <c r="N37" s="62">
        <f t="shared" ref="N37:Y37" si="46">18.4*N20</f>
        <v>32667.360000000001</v>
      </c>
      <c r="O37" s="63">
        <f t="shared" si="46"/>
        <v>31695.839999999997</v>
      </c>
      <c r="P37" s="61">
        <f t="shared" si="46"/>
        <v>31246.879999999997</v>
      </c>
      <c r="Q37" s="62">
        <f t="shared" si="46"/>
        <v>34809.119999999995</v>
      </c>
      <c r="R37" s="62">
        <f t="shared" si="46"/>
        <v>32853.199999999997</v>
      </c>
      <c r="S37" s="62">
        <f t="shared" si="46"/>
        <v>33927.760000000002</v>
      </c>
      <c r="T37" s="62">
        <f t="shared" si="46"/>
        <v>34045.519999999997</v>
      </c>
      <c r="U37" s="62">
        <f t="shared" si="46"/>
        <v>34312.32</v>
      </c>
      <c r="V37" s="62">
        <f t="shared" si="46"/>
        <v>33353.68</v>
      </c>
      <c r="W37" s="62">
        <f t="shared" si="46"/>
        <v>32895.519999999997</v>
      </c>
      <c r="X37" s="62">
        <f t="shared" si="46"/>
        <v>32529.360000000001</v>
      </c>
      <c r="Y37" s="63">
        <f t="shared" si="46"/>
        <v>32764.879999999997</v>
      </c>
      <c r="Z37" s="212">
        <f t="shared" ref="Z37:AW37" si="47">18.4*Z20</f>
        <v>0</v>
      </c>
      <c r="AA37" s="213">
        <f t="shared" si="47"/>
        <v>0</v>
      </c>
      <c r="AB37" s="62">
        <f t="shared" si="47"/>
        <v>35650</v>
      </c>
      <c r="AC37" s="5">
        <f t="shared" si="47"/>
        <v>33434.639999999992</v>
      </c>
      <c r="AD37" s="61">
        <f t="shared" si="47"/>
        <v>32871.599999999999</v>
      </c>
      <c r="AE37" s="62">
        <f t="shared" si="47"/>
        <v>34834.879999999997</v>
      </c>
      <c r="AF37" s="62">
        <f t="shared" si="47"/>
        <v>34444.799999999996</v>
      </c>
      <c r="AG37" s="62">
        <f t="shared" si="47"/>
        <v>32144.799999999999</v>
      </c>
      <c r="AH37" s="62">
        <f t="shared" si="47"/>
        <v>33285.599999999999</v>
      </c>
      <c r="AI37" s="62">
        <f t="shared" si="47"/>
        <v>33830.239999999998</v>
      </c>
      <c r="AJ37" s="62">
        <f t="shared" si="47"/>
        <v>33322.399999999994</v>
      </c>
      <c r="AK37" s="62">
        <f t="shared" si="47"/>
        <v>31944.239999999994</v>
      </c>
      <c r="AL37" s="62">
        <f t="shared" si="47"/>
        <v>0</v>
      </c>
      <c r="AM37" s="63">
        <f t="shared" si="47"/>
        <v>0</v>
      </c>
      <c r="AN37" s="61">
        <f t="shared" si="47"/>
        <v>0</v>
      </c>
      <c r="AO37" s="62">
        <f t="shared" si="47"/>
        <v>0</v>
      </c>
      <c r="AP37" s="62">
        <f t="shared" si="47"/>
        <v>0</v>
      </c>
      <c r="AQ37" s="62">
        <f t="shared" si="47"/>
        <v>0</v>
      </c>
      <c r="AR37" s="62">
        <f t="shared" si="47"/>
        <v>0</v>
      </c>
      <c r="AS37" s="62">
        <f t="shared" si="47"/>
        <v>0</v>
      </c>
      <c r="AT37" s="62">
        <f t="shared" si="47"/>
        <v>0</v>
      </c>
      <c r="AU37" s="62">
        <f t="shared" si="47"/>
        <v>0</v>
      </c>
      <c r="AV37" s="62">
        <f t="shared" si="47"/>
        <v>0</v>
      </c>
      <c r="AW37" s="63">
        <f t="shared" si="47"/>
        <v>0</v>
      </c>
      <c r="AX37" s="141">
        <f t="shared" ref="AX37:AY37" si="48">18.4*AX20</f>
        <v>0</v>
      </c>
      <c r="AY37" s="62">
        <f t="shared" si="48"/>
        <v>0</v>
      </c>
      <c r="AZ37" s="99"/>
      <c r="BA37" s="99"/>
      <c r="BB37" s="99"/>
      <c r="BC37" s="99"/>
      <c r="BD37" s="99"/>
      <c r="BE37" s="99"/>
      <c r="BF37" s="99"/>
      <c r="BG37" s="99"/>
    </row>
    <row r="38" spans="1:59" ht="15" x14ac:dyDescent="0.35">
      <c r="A38" s="11" t="s">
        <v>40</v>
      </c>
      <c r="B38" s="62">
        <f t="shared" ref="B38:C38" si="49">18.4*B21</f>
        <v>29185.466666666667</v>
      </c>
      <c r="C38" s="62">
        <f t="shared" si="49"/>
        <v>28559.866666666665</v>
      </c>
      <c r="D38" s="62">
        <f t="shared" ref="D38:M38" si="50">18.4*D21</f>
        <v>22611.759999999998</v>
      </c>
      <c r="E38" s="5">
        <f t="shared" si="50"/>
        <v>22672.48</v>
      </c>
      <c r="F38" s="61">
        <f t="shared" si="50"/>
        <v>27305.599999999999</v>
      </c>
      <c r="G38" s="62">
        <f t="shared" si="50"/>
        <v>25428.799999999999</v>
      </c>
      <c r="H38" s="62">
        <f t="shared" si="50"/>
        <v>25005.599999999999</v>
      </c>
      <c r="I38" s="62">
        <f t="shared" si="50"/>
        <v>24361.599999999999</v>
      </c>
      <c r="J38" s="62">
        <f t="shared" si="50"/>
        <v>25815.199999999997</v>
      </c>
      <c r="K38" s="62">
        <f t="shared" si="50"/>
        <v>24803.199999999997</v>
      </c>
      <c r="L38" s="62">
        <f t="shared" si="50"/>
        <v>26017.599999999999</v>
      </c>
      <c r="M38" s="62">
        <f t="shared" si="50"/>
        <v>24490.399999999998</v>
      </c>
      <c r="N38" s="62">
        <f t="shared" ref="N38:Y38" si="51">18.4*N21</f>
        <v>26679.999999999996</v>
      </c>
      <c r="O38" s="63">
        <f t="shared" si="51"/>
        <v>25410.399999999998</v>
      </c>
      <c r="P38" s="61">
        <f t="shared" si="51"/>
        <v>26035.999999999996</v>
      </c>
      <c r="Q38" s="62">
        <f t="shared" si="51"/>
        <v>22135.199999999997</v>
      </c>
      <c r="R38" s="62">
        <f t="shared" si="51"/>
        <v>24214.399999999998</v>
      </c>
      <c r="S38" s="62">
        <f t="shared" si="51"/>
        <v>22392.799999999999</v>
      </c>
      <c r="T38" s="62">
        <f t="shared" si="51"/>
        <v>23901.599999999999</v>
      </c>
      <c r="U38" s="62">
        <f t="shared" si="51"/>
        <v>23441.599999999999</v>
      </c>
      <c r="V38" s="62">
        <f t="shared" si="51"/>
        <v>23883.199999999997</v>
      </c>
      <c r="W38" s="62">
        <f t="shared" si="51"/>
        <v>23735.999999999996</v>
      </c>
      <c r="X38" s="62">
        <f t="shared" si="51"/>
        <v>25870.399999999998</v>
      </c>
      <c r="Y38" s="63">
        <f t="shared" si="51"/>
        <v>24803.199999999997</v>
      </c>
      <c r="Z38" s="212">
        <f t="shared" ref="Z38:AW38" si="52">18.4*Z21</f>
        <v>0</v>
      </c>
      <c r="AA38" s="213">
        <f t="shared" si="52"/>
        <v>0</v>
      </c>
      <c r="AB38" s="62">
        <f t="shared" si="52"/>
        <v>30829.199999999997</v>
      </c>
      <c r="AC38" s="5">
        <f t="shared" si="52"/>
        <v>32255.199999999997</v>
      </c>
      <c r="AD38" s="61">
        <f t="shared" si="52"/>
        <v>33320.559999999998</v>
      </c>
      <c r="AE38" s="62">
        <f t="shared" si="52"/>
        <v>31889.039999999997</v>
      </c>
      <c r="AF38" s="62">
        <f t="shared" si="52"/>
        <v>30816.319999999996</v>
      </c>
      <c r="AG38" s="62">
        <f t="shared" si="52"/>
        <v>35024.399999999994</v>
      </c>
      <c r="AH38" s="62">
        <f t="shared" si="52"/>
        <v>32991.199999999997</v>
      </c>
      <c r="AI38" s="62">
        <f t="shared" si="52"/>
        <v>33646.239999999998</v>
      </c>
      <c r="AJ38" s="62">
        <f t="shared" si="52"/>
        <v>33653.599999999999</v>
      </c>
      <c r="AK38" s="62">
        <f t="shared" si="52"/>
        <v>36064</v>
      </c>
      <c r="AL38" s="62">
        <f t="shared" si="52"/>
        <v>0</v>
      </c>
      <c r="AM38" s="63">
        <f t="shared" si="52"/>
        <v>0</v>
      </c>
      <c r="AN38" s="61">
        <f t="shared" si="52"/>
        <v>0</v>
      </c>
      <c r="AO38" s="62">
        <f t="shared" si="52"/>
        <v>0</v>
      </c>
      <c r="AP38" s="62">
        <f t="shared" si="52"/>
        <v>0</v>
      </c>
      <c r="AQ38" s="62">
        <f t="shared" si="52"/>
        <v>0</v>
      </c>
      <c r="AR38" s="62">
        <f t="shared" si="52"/>
        <v>0</v>
      </c>
      <c r="AS38" s="62">
        <f t="shared" si="52"/>
        <v>0</v>
      </c>
      <c r="AT38" s="62">
        <f t="shared" si="52"/>
        <v>0</v>
      </c>
      <c r="AU38" s="62">
        <f t="shared" si="52"/>
        <v>0</v>
      </c>
      <c r="AV38" s="62">
        <f t="shared" si="52"/>
        <v>0</v>
      </c>
      <c r="AW38" s="63">
        <f t="shared" si="52"/>
        <v>0</v>
      </c>
      <c r="AX38" s="141">
        <f t="shared" ref="AX38:AY38" si="53">18.4*AX21</f>
        <v>0</v>
      </c>
      <c r="AY38" s="62">
        <f t="shared" si="53"/>
        <v>0</v>
      </c>
      <c r="AZ38" s="99"/>
      <c r="BA38" s="99"/>
      <c r="BB38" s="99"/>
      <c r="BC38" s="99"/>
      <c r="BD38" s="99"/>
      <c r="BE38" s="99"/>
      <c r="BF38" s="99"/>
      <c r="BG38" s="99"/>
    </row>
    <row r="39" spans="1:59" ht="15" x14ac:dyDescent="0.35">
      <c r="A39" s="11" t="s">
        <v>41</v>
      </c>
      <c r="B39" s="62">
        <f t="shared" ref="B39:C39" si="54">18.4*B22</f>
        <v>50213.906666666655</v>
      </c>
      <c r="C39" s="62">
        <f t="shared" si="54"/>
        <v>50669.306666666656</v>
      </c>
      <c r="D39" s="62">
        <f t="shared" ref="D39:M39" si="55">18.4*D22</f>
        <v>58018.87999999999</v>
      </c>
      <c r="E39" s="5">
        <f t="shared" si="55"/>
        <v>59163.360000000001</v>
      </c>
      <c r="F39" s="61">
        <f t="shared" si="55"/>
        <v>52268.87999999999</v>
      </c>
      <c r="G39" s="62">
        <f t="shared" si="55"/>
        <v>52752.799999999996</v>
      </c>
      <c r="H39" s="62">
        <f t="shared" si="55"/>
        <v>51873.279999999992</v>
      </c>
      <c r="I39" s="62">
        <f t="shared" si="55"/>
        <v>49939.439999999995</v>
      </c>
      <c r="J39" s="62">
        <f t="shared" si="55"/>
        <v>50147.360000000001</v>
      </c>
      <c r="K39" s="62">
        <f t="shared" si="55"/>
        <v>50914.639999999992</v>
      </c>
      <c r="L39" s="62">
        <f t="shared" si="55"/>
        <v>49116.959999999999</v>
      </c>
      <c r="M39" s="62">
        <f t="shared" si="55"/>
        <v>50147.360000000001</v>
      </c>
      <c r="N39" s="62">
        <f t="shared" ref="N39:Y39" si="56">18.4*N22</f>
        <v>48452.72</v>
      </c>
      <c r="O39" s="63">
        <f t="shared" si="56"/>
        <v>51814.399999999994</v>
      </c>
      <c r="P39" s="61">
        <f t="shared" si="56"/>
        <v>53030.639999999992</v>
      </c>
      <c r="Q39" s="62">
        <f t="shared" si="56"/>
        <v>49740.72</v>
      </c>
      <c r="R39" s="62">
        <f t="shared" si="56"/>
        <v>51427.999999999993</v>
      </c>
      <c r="S39" s="62">
        <f t="shared" si="56"/>
        <v>51908.239999999991</v>
      </c>
      <c r="T39" s="62">
        <f t="shared" si="56"/>
        <v>49994.639999999992</v>
      </c>
      <c r="U39" s="62">
        <f t="shared" si="56"/>
        <v>50581.599999999999</v>
      </c>
      <c r="V39" s="62">
        <f t="shared" si="56"/>
        <v>51179.6</v>
      </c>
      <c r="W39" s="62">
        <f t="shared" si="56"/>
        <v>51313.919999999998</v>
      </c>
      <c r="X39" s="62">
        <f t="shared" si="56"/>
        <v>49808.799999999996</v>
      </c>
      <c r="Y39" s="63">
        <f t="shared" si="56"/>
        <v>50636.799999999996</v>
      </c>
      <c r="Z39" s="212">
        <f t="shared" ref="Z39:AW39" si="57">18.4*Z22</f>
        <v>0</v>
      </c>
      <c r="AA39" s="213">
        <f t="shared" si="57"/>
        <v>0</v>
      </c>
      <c r="AB39" s="62">
        <f t="shared" si="57"/>
        <v>42890.399999999994</v>
      </c>
      <c r="AC39" s="5">
        <f t="shared" si="57"/>
        <v>43681.599999999999</v>
      </c>
      <c r="AD39" s="61">
        <f t="shared" si="57"/>
        <v>44196.799999999996</v>
      </c>
      <c r="AE39" s="62">
        <f t="shared" si="57"/>
        <v>42927.199999999997</v>
      </c>
      <c r="AF39" s="62">
        <f t="shared" si="57"/>
        <v>46036.799999999996</v>
      </c>
      <c r="AG39" s="62">
        <f t="shared" si="57"/>
        <v>43037.599999999999</v>
      </c>
      <c r="AH39" s="62">
        <f t="shared" si="57"/>
        <v>45668.799999999996</v>
      </c>
      <c r="AI39" s="62">
        <f t="shared" si="57"/>
        <v>41768</v>
      </c>
      <c r="AJ39" s="62">
        <f t="shared" si="57"/>
        <v>42172.799999999996</v>
      </c>
      <c r="AK39" s="62">
        <f t="shared" si="57"/>
        <v>41160.799999999996</v>
      </c>
      <c r="AL39" s="62">
        <f t="shared" si="57"/>
        <v>0</v>
      </c>
      <c r="AM39" s="63">
        <f t="shared" si="57"/>
        <v>0</v>
      </c>
      <c r="AN39" s="61">
        <f t="shared" si="57"/>
        <v>0</v>
      </c>
      <c r="AO39" s="62">
        <f t="shared" si="57"/>
        <v>0</v>
      </c>
      <c r="AP39" s="62">
        <f t="shared" si="57"/>
        <v>0</v>
      </c>
      <c r="AQ39" s="62">
        <f t="shared" si="57"/>
        <v>0</v>
      </c>
      <c r="AR39" s="62">
        <f t="shared" si="57"/>
        <v>0</v>
      </c>
      <c r="AS39" s="62">
        <f t="shared" si="57"/>
        <v>0</v>
      </c>
      <c r="AT39" s="62">
        <f t="shared" si="57"/>
        <v>0</v>
      </c>
      <c r="AU39" s="62">
        <f t="shared" si="57"/>
        <v>0</v>
      </c>
      <c r="AV39" s="62">
        <f t="shared" si="57"/>
        <v>0</v>
      </c>
      <c r="AW39" s="63">
        <f t="shared" si="57"/>
        <v>0</v>
      </c>
      <c r="AX39" s="141">
        <f t="shared" ref="AX39:AY39" si="58">18.4*AX22</f>
        <v>0</v>
      </c>
      <c r="AY39" s="62">
        <f t="shared" si="58"/>
        <v>0</v>
      </c>
      <c r="AZ39" s="99"/>
      <c r="BA39" s="99"/>
      <c r="BB39" s="99"/>
      <c r="BC39" s="99"/>
      <c r="BD39" s="99"/>
      <c r="BE39" s="99"/>
      <c r="BF39" s="99"/>
      <c r="BG39" s="99"/>
    </row>
    <row r="40" spans="1:59" ht="15" x14ac:dyDescent="0.35">
      <c r="A40" s="11" t="s">
        <v>42</v>
      </c>
      <c r="B40" s="62">
        <f t="shared" ref="B40:C40" si="59">18.4*B23</f>
        <v>29069.853333333329</v>
      </c>
      <c r="C40" s="62">
        <f t="shared" si="59"/>
        <v>29612.04</v>
      </c>
      <c r="D40" s="62">
        <f t="shared" ref="D40:M40" si="60">18.4*D23</f>
        <v>23956.799999999999</v>
      </c>
      <c r="E40" s="5">
        <f t="shared" si="60"/>
        <v>21932.799999999999</v>
      </c>
      <c r="F40" s="61">
        <f t="shared" si="60"/>
        <v>24089.279999999999</v>
      </c>
      <c r="G40" s="62">
        <f t="shared" si="60"/>
        <v>22865.68</v>
      </c>
      <c r="H40" s="62">
        <f t="shared" si="60"/>
        <v>27872.319999999996</v>
      </c>
      <c r="I40" s="62">
        <f t="shared" si="60"/>
        <v>26523.599999999999</v>
      </c>
      <c r="J40" s="62">
        <f t="shared" si="60"/>
        <v>27837.360000000001</v>
      </c>
      <c r="K40" s="62">
        <f t="shared" si="60"/>
        <v>28063.68</v>
      </c>
      <c r="L40" s="62">
        <f t="shared" si="60"/>
        <v>26306.48</v>
      </c>
      <c r="M40" s="62">
        <f t="shared" si="60"/>
        <v>27912.799999999999</v>
      </c>
      <c r="N40" s="62">
        <f t="shared" ref="N40:Y40" si="61">18.4*N23</f>
        <v>28341.519999999997</v>
      </c>
      <c r="O40" s="63">
        <f t="shared" si="61"/>
        <v>27829.999999999996</v>
      </c>
      <c r="P40" s="61">
        <f t="shared" si="61"/>
        <v>26440.799999999999</v>
      </c>
      <c r="Q40" s="62">
        <f t="shared" si="61"/>
        <v>28823.599999999999</v>
      </c>
      <c r="R40" s="62">
        <f t="shared" si="61"/>
        <v>27485.919999999998</v>
      </c>
      <c r="S40" s="62">
        <f t="shared" si="61"/>
        <v>27029.599999999999</v>
      </c>
      <c r="T40" s="62">
        <f t="shared" si="61"/>
        <v>26111.439999999995</v>
      </c>
      <c r="U40" s="62">
        <f t="shared" si="61"/>
        <v>25391.999999999996</v>
      </c>
      <c r="V40" s="62">
        <f t="shared" si="61"/>
        <v>26190.560000000001</v>
      </c>
      <c r="W40" s="62">
        <f t="shared" si="61"/>
        <v>27806.079999999998</v>
      </c>
      <c r="X40" s="62">
        <f t="shared" si="61"/>
        <v>26858.48</v>
      </c>
      <c r="Y40" s="63">
        <f t="shared" si="61"/>
        <v>26254.959999999999</v>
      </c>
      <c r="Z40" s="212">
        <f t="shared" ref="Z40:AW40" si="62">18.4*Z23</f>
        <v>0</v>
      </c>
      <c r="AA40" s="213">
        <f t="shared" si="62"/>
        <v>0</v>
      </c>
      <c r="AB40" s="62">
        <f t="shared" si="62"/>
        <v>28998.399999999998</v>
      </c>
      <c r="AC40" s="5">
        <f t="shared" si="62"/>
        <v>28354.399999999998</v>
      </c>
      <c r="AD40" s="61">
        <f t="shared" si="62"/>
        <v>27802.399999999998</v>
      </c>
      <c r="AE40" s="62">
        <f t="shared" si="62"/>
        <v>26922.879999999997</v>
      </c>
      <c r="AF40" s="62">
        <f t="shared" si="62"/>
        <v>26385.599999999999</v>
      </c>
      <c r="AG40" s="62">
        <f t="shared" si="62"/>
        <v>27011.199999999997</v>
      </c>
      <c r="AH40" s="62">
        <f t="shared" si="62"/>
        <v>25023.999999999996</v>
      </c>
      <c r="AI40" s="62">
        <f t="shared" si="62"/>
        <v>27894.399999999998</v>
      </c>
      <c r="AJ40" s="62">
        <f t="shared" si="62"/>
        <v>27011.199999999997</v>
      </c>
      <c r="AK40" s="62">
        <f t="shared" si="62"/>
        <v>27029.599999999999</v>
      </c>
      <c r="AL40" s="62">
        <f t="shared" si="62"/>
        <v>0</v>
      </c>
      <c r="AM40" s="63">
        <f t="shared" si="62"/>
        <v>0</v>
      </c>
      <c r="AN40" s="61">
        <f t="shared" si="62"/>
        <v>0</v>
      </c>
      <c r="AO40" s="62">
        <f t="shared" si="62"/>
        <v>0</v>
      </c>
      <c r="AP40" s="62">
        <f t="shared" si="62"/>
        <v>0</v>
      </c>
      <c r="AQ40" s="62">
        <f t="shared" si="62"/>
        <v>0</v>
      </c>
      <c r="AR40" s="62">
        <f t="shared" si="62"/>
        <v>0</v>
      </c>
      <c r="AS40" s="62">
        <f t="shared" si="62"/>
        <v>0</v>
      </c>
      <c r="AT40" s="62">
        <f t="shared" si="62"/>
        <v>0</v>
      </c>
      <c r="AU40" s="62">
        <f t="shared" si="62"/>
        <v>0</v>
      </c>
      <c r="AV40" s="62">
        <f t="shared" si="62"/>
        <v>0</v>
      </c>
      <c r="AW40" s="63">
        <f t="shared" si="62"/>
        <v>0</v>
      </c>
      <c r="AX40" s="141">
        <f t="shared" ref="AX40:AY40" si="63">18.4*AX23</f>
        <v>0</v>
      </c>
      <c r="AY40" s="62">
        <f t="shared" si="63"/>
        <v>0</v>
      </c>
      <c r="AZ40" s="99"/>
      <c r="BA40" s="99"/>
      <c r="BB40" s="99"/>
      <c r="BC40" s="99"/>
      <c r="BD40" s="99"/>
      <c r="BE40" s="99"/>
      <c r="BF40" s="99"/>
      <c r="BG40" s="99"/>
    </row>
    <row r="41" spans="1:59" ht="15" x14ac:dyDescent="0.35">
      <c r="A41" s="11" t="s">
        <v>43</v>
      </c>
      <c r="B41" s="62">
        <f t="shared" ref="B41:C41" si="64">18.4*B24</f>
        <v>33913.653333333328</v>
      </c>
      <c r="C41" s="62">
        <f t="shared" si="64"/>
        <v>33448.133333333331</v>
      </c>
      <c r="D41" s="62">
        <f t="shared" ref="D41:M41" si="65">18.4*D24</f>
        <v>28538.399999999998</v>
      </c>
      <c r="E41" s="5">
        <f t="shared" si="65"/>
        <v>30348.959999999999</v>
      </c>
      <c r="F41" s="61">
        <f t="shared" si="65"/>
        <v>32919.439999999995</v>
      </c>
      <c r="G41" s="62">
        <f t="shared" si="65"/>
        <v>34731.839999999997</v>
      </c>
      <c r="H41" s="62">
        <f t="shared" si="65"/>
        <v>31992.079999999998</v>
      </c>
      <c r="I41" s="62">
        <f t="shared" si="65"/>
        <v>33797.119999999995</v>
      </c>
      <c r="J41" s="62">
        <f t="shared" si="65"/>
        <v>32058.319999999996</v>
      </c>
      <c r="K41" s="62">
        <f t="shared" si="65"/>
        <v>31110.719999999998</v>
      </c>
      <c r="L41" s="62">
        <f t="shared" si="65"/>
        <v>33296.639999999992</v>
      </c>
      <c r="M41" s="62">
        <f t="shared" si="65"/>
        <v>32459.439999999995</v>
      </c>
      <c r="N41" s="62">
        <f t="shared" ref="N41:Y41" si="66">18.4*N24</f>
        <v>31982.879999999997</v>
      </c>
      <c r="O41" s="63">
        <f t="shared" si="66"/>
        <v>31412.48</v>
      </c>
      <c r="P41" s="61">
        <f t="shared" si="66"/>
        <v>31522.879999999997</v>
      </c>
      <c r="Q41" s="62">
        <f t="shared" si="66"/>
        <v>33039.039999999994</v>
      </c>
      <c r="R41" s="62">
        <f t="shared" si="66"/>
        <v>32317.759999999998</v>
      </c>
      <c r="S41" s="62">
        <f t="shared" si="66"/>
        <v>33035.360000000001</v>
      </c>
      <c r="T41" s="62">
        <f t="shared" si="66"/>
        <v>33933.279999999999</v>
      </c>
      <c r="U41" s="62">
        <f t="shared" si="66"/>
        <v>34301.279999999999</v>
      </c>
      <c r="V41" s="62">
        <f t="shared" si="66"/>
        <v>33491.68</v>
      </c>
      <c r="W41" s="62">
        <f t="shared" si="66"/>
        <v>32275.439999999995</v>
      </c>
      <c r="X41" s="62">
        <f t="shared" si="66"/>
        <v>33026.159999999996</v>
      </c>
      <c r="Y41" s="63">
        <f t="shared" si="66"/>
        <v>33936.959999999999</v>
      </c>
      <c r="Z41" s="212">
        <f t="shared" ref="Z41:AW41" si="67">18.4*Z24</f>
        <v>0</v>
      </c>
      <c r="AA41" s="213">
        <f t="shared" si="67"/>
        <v>0</v>
      </c>
      <c r="AB41" s="62">
        <f t="shared" si="67"/>
        <v>35962.799999999996</v>
      </c>
      <c r="AC41" s="5">
        <f t="shared" si="67"/>
        <v>35911.279999999999</v>
      </c>
      <c r="AD41" s="61">
        <f t="shared" si="67"/>
        <v>35712.559999999998</v>
      </c>
      <c r="AE41" s="62">
        <f t="shared" si="67"/>
        <v>37168</v>
      </c>
      <c r="AF41" s="62">
        <f t="shared" si="67"/>
        <v>36095.279999999999</v>
      </c>
      <c r="AG41" s="62">
        <f t="shared" si="67"/>
        <v>36001.439999999995</v>
      </c>
      <c r="AH41" s="62">
        <f t="shared" si="67"/>
        <v>37252.639999999992</v>
      </c>
      <c r="AI41" s="62">
        <f t="shared" si="67"/>
        <v>36777.919999999998</v>
      </c>
      <c r="AJ41" s="62">
        <f t="shared" si="67"/>
        <v>37142.239999999998</v>
      </c>
      <c r="AK41" s="62">
        <f t="shared" si="67"/>
        <v>36952.719999999994</v>
      </c>
      <c r="AL41" s="62">
        <f t="shared" si="67"/>
        <v>0</v>
      </c>
      <c r="AM41" s="63">
        <f t="shared" si="67"/>
        <v>0</v>
      </c>
      <c r="AN41" s="61">
        <f t="shared" si="67"/>
        <v>0</v>
      </c>
      <c r="AO41" s="62">
        <f t="shared" si="67"/>
        <v>0</v>
      </c>
      <c r="AP41" s="62">
        <f t="shared" si="67"/>
        <v>0</v>
      </c>
      <c r="AQ41" s="62">
        <f t="shared" si="67"/>
        <v>0</v>
      </c>
      <c r="AR41" s="62">
        <f t="shared" si="67"/>
        <v>0</v>
      </c>
      <c r="AS41" s="62">
        <f t="shared" si="67"/>
        <v>0</v>
      </c>
      <c r="AT41" s="62">
        <f t="shared" si="67"/>
        <v>0</v>
      </c>
      <c r="AU41" s="62">
        <f t="shared" si="67"/>
        <v>0</v>
      </c>
      <c r="AV41" s="62">
        <f t="shared" si="67"/>
        <v>0</v>
      </c>
      <c r="AW41" s="63">
        <f t="shared" si="67"/>
        <v>0</v>
      </c>
      <c r="AX41" s="141">
        <f t="shared" ref="AX41:AY41" si="68">18.4*AX24</f>
        <v>0</v>
      </c>
      <c r="AY41" s="62">
        <f t="shared" si="68"/>
        <v>0</v>
      </c>
      <c r="AZ41" s="99"/>
      <c r="BA41" s="99"/>
      <c r="BB41" s="99"/>
      <c r="BC41" s="99"/>
      <c r="BD41" s="99"/>
      <c r="BE41" s="99"/>
      <c r="BF41" s="99"/>
      <c r="BG41" s="99"/>
    </row>
    <row r="42" spans="1:59" x14ac:dyDescent="0.35">
      <c r="A42" s="123"/>
      <c r="B42" s="81"/>
      <c r="C42" s="81"/>
      <c r="D42" s="109"/>
      <c r="E42" s="6"/>
      <c r="F42" s="160"/>
      <c r="G42" s="109"/>
      <c r="H42" s="109"/>
      <c r="I42" s="109"/>
      <c r="J42" s="109"/>
      <c r="K42" s="109"/>
      <c r="L42" s="109"/>
      <c r="M42" s="109"/>
      <c r="N42" s="109"/>
      <c r="O42" s="161"/>
      <c r="P42" s="160"/>
      <c r="Q42" s="109"/>
      <c r="R42" s="109"/>
      <c r="S42" s="109"/>
      <c r="T42" s="109"/>
      <c r="U42" s="109"/>
      <c r="V42" s="109"/>
      <c r="W42" s="109"/>
      <c r="X42" s="109"/>
      <c r="Y42" s="161"/>
      <c r="Z42" s="214"/>
      <c r="AA42" s="215"/>
      <c r="AB42" s="109"/>
      <c r="AC42" s="6"/>
      <c r="AD42" s="160"/>
      <c r="AE42" s="109"/>
      <c r="AF42" s="109"/>
      <c r="AG42" s="109"/>
      <c r="AH42" s="109"/>
      <c r="AI42" s="109"/>
      <c r="AJ42" s="109"/>
      <c r="AK42" s="109"/>
      <c r="AL42" s="109"/>
      <c r="AM42" s="161"/>
      <c r="AN42" s="160"/>
      <c r="AO42" s="109"/>
      <c r="AP42" s="109"/>
      <c r="AQ42" s="109"/>
      <c r="AR42" s="109"/>
      <c r="AS42" s="109"/>
      <c r="AT42" s="109"/>
      <c r="AU42" s="109"/>
      <c r="AV42" s="109"/>
      <c r="AW42" s="161"/>
      <c r="AX42" s="142"/>
      <c r="AY42" s="109"/>
      <c r="AZ42" s="17"/>
      <c r="BA42" s="17"/>
      <c r="BB42" s="17"/>
      <c r="BC42" s="17"/>
      <c r="BD42" s="17"/>
      <c r="BE42" s="17"/>
      <c r="BF42" s="17"/>
      <c r="BG42" s="17"/>
    </row>
    <row r="43" spans="1:59" ht="15.5" x14ac:dyDescent="0.35">
      <c r="A43" s="11" t="s">
        <v>44</v>
      </c>
      <c r="B43" s="124">
        <v>37.301915883995484</v>
      </c>
      <c r="C43" s="125">
        <v>38.194809796359692</v>
      </c>
      <c r="D43" s="23">
        <f t="shared" ref="D43:M43" si="69">(D37/D31-8.1)/20*100</f>
        <v>33.496930422919505</v>
      </c>
      <c r="E43" s="7">
        <f t="shared" si="69"/>
        <v>30.219581551745613</v>
      </c>
      <c r="F43" s="67">
        <f t="shared" si="69"/>
        <v>31.591247923121824</v>
      </c>
      <c r="G43" s="23">
        <f t="shared" si="69"/>
        <v>31.655982432012781</v>
      </c>
      <c r="H43" s="23">
        <f t="shared" si="69"/>
        <v>30.719888327572452</v>
      </c>
      <c r="I43" s="23">
        <f t="shared" si="69"/>
        <v>33.18270020312027</v>
      </c>
      <c r="J43" s="23">
        <f t="shared" si="69"/>
        <v>31.442897426859357</v>
      </c>
      <c r="K43" s="23">
        <f t="shared" si="69"/>
        <v>32.596380853547807</v>
      </c>
      <c r="L43" s="23">
        <f t="shared" si="69"/>
        <v>34.123980244300377</v>
      </c>
      <c r="M43" s="23">
        <f t="shared" si="69"/>
        <v>33.160539592015787</v>
      </c>
      <c r="N43" s="23">
        <f t="shared" ref="N43:Y43" si="70">(N37/N31-8.1)/20*100</f>
        <v>33.818318318318319</v>
      </c>
      <c r="O43" s="68">
        <f t="shared" si="70"/>
        <v>31.372653061224486</v>
      </c>
      <c r="P43" s="67">
        <f t="shared" si="70"/>
        <v>30.947569396807971</v>
      </c>
      <c r="Q43" s="23">
        <f t="shared" si="70"/>
        <v>34.072860876644235</v>
      </c>
      <c r="R43" s="23">
        <f t="shared" si="70"/>
        <v>33.600505232767944</v>
      </c>
      <c r="S43" s="23">
        <f t="shared" si="70"/>
        <v>33.256000000000007</v>
      </c>
      <c r="T43" s="23">
        <f t="shared" si="70"/>
        <v>36.341782151401603</v>
      </c>
      <c r="U43" s="23">
        <f t="shared" si="70"/>
        <v>32.331380539989816</v>
      </c>
      <c r="V43" s="23">
        <f t="shared" si="70"/>
        <v>31.866413538728576</v>
      </c>
      <c r="W43" s="23">
        <f t="shared" si="70"/>
        <v>31.973055739149579</v>
      </c>
      <c r="X43" s="23">
        <f t="shared" si="70"/>
        <v>32.899882666185299</v>
      </c>
      <c r="Y43" s="68">
        <f t="shared" si="70"/>
        <v>32.463256580412406</v>
      </c>
      <c r="Z43" s="214" t="e">
        <f t="shared" ref="Z43:AW43" si="71">(Z37/Z31-8.1)/20*100</f>
        <v>#DIV/0!</v>
      </c>
      <c r="AA43" s="215" t="e">
        <f t="shared" si="71"/>
        <v>#DIV/0!</v>
      </c>
      <c r="AB43" s="23">
        <f t="shared" si="71"/>
        <v>36.226067493112957</v>
      </c>
      <c r="AC43" s="7">
        <f t="shared" si="71"/>
        <v>34.150888630883252</v>
      </c>
      <c r="AD43" s="67">
        <f t="shared" si="71"/>
        <v>33.786101694915246</v>
      </c>
      <c r="AE43" s="23">
        <f t="shared" si="71"/>
        <v>35.208250021733463</v>
      </c>
      <c r="AF43" s="23">
        <f t="shared" si="71"/>
        <v>35.199529691002581</v>
      </c>
      <c r="AG43" s="23">
        <f t="shared" si="71"/>
        <v>33.044431225404956</v>
      </c>
      <c r="AH43" s="23">
        <f t="shared" si="71"/>
        <v>33.366228751497943</v>
      </c>
      <c r="AI43" s="23">
        <f t="shared" si="71"/>
        <v>33.562437059415906</v>
      </c>
      <c r="AJ43" s="23">
        <f t="shared" si="71"/>
        <v>34.439054558539098</v>
      </c>
      <c r="AK43" s="23">
        <f t="shared" si="71"/>
        <v>34.384523418819427</v>
      </c>
      <c r="AL43" s="23" t="e">
        <f t="shared" si="71"/>
        <v>#DIV/0!</v>
      </c>
      <c r="AM43" s="68" t="e">
        <f t="shared" si="71"/>
        <v>#DIV/0!</v>
      </c>
      <c r="AN43" s="67" t="e">
        <f t="shared" si="71"/>
        <v>#DIV/0!</v>
      </c>
      <c r="AO43" s="23" t="e">
        <f t="shared" si="71"/>
        <v>#DIV/0!</v>
      </c>
      <c r="AP43" s="23" t="e">
        <f t="shared" si="71"/>
        <v>#DIV/0!</v>
      </c>
      <c r="AQ43" s="23" t="e">
        <f t="shared" si="71"/>
        <v>#DIV/0!</v>
      </c>
      <c r="AR43" s="23" t="e">
        <f t="shared" si="71"/>
        <v>#DIV/0!</v>
      </c>
      <c r="AS43" s="23" t="e">
        <f t="shared" si="71"/>
        <v>#DIV/0!</v>
      </c>
      <c r="AT43" s="23" t="e">
        <f t="shared" si="71"/>
        <v>#DIV/0!</v>
      </c>
      <c r="AU43" s="23" t="e">
        <f t="shared" si="71"/>
        <v>#DIV/0!</v>
      </c>
      <c r="AV43" s="23" t="e">
        <f t="shared" si="71"/>
        <v>#DIV/0!</v>
      </c>
      <c r="AW43" s="68" t="e">
        <f t="shared" si="71"/>
        <v>#DIV/0!</v>
      </c>
      <c r="AX43" s="143" t="e">
        <f t="shared" ref="AX43:AY43" si="72">(AX37/AX31-8.1)/20*100</f>
        <v>#DIV/0!</v>
      </c>
      <c r="AY43" s="23" t="e">
        <f t="shared" si="72"/>
        <v>#DIV/0!</v>
      </c>
      <c r="AZ43" s="17"/>
      <c r="BA43" s="17"/>
      <c r="BB43" s="17"/>
      <c r="BC43" s="17"/>
      <c r="BD43" s="17"/>
      <c r="BE43" s="17"/>
      <c r="BF43" s="17"/>
      <c r="BG43" s="17"/>
    </row>
    <row r="44" spans="1:59" ht="15.5" x14ac:dyDescent="0.35">
      <c r="A44" s="11" t="s">
        <v>45</v>
      </c>
      <c r="B44" s="124">
        <v>38.777920904125502</v>
      </c>
      <c r="C44" s="125">
        <v>37.81021541076182</v>
      </c>
      <c r="D44" s="23">
        <f t="shared" ref="D44:M44" si="73">(D38/D32-8.1)/20*100</f>
        <v>35.787989203778672</v>
      </c>
      <c r="E44" s="7">
        <f t="shared" si="73"/>
        <v>40.932655700021535</v>
      </c>
      <c r="F44" s="67">
        <f t="shared" si="73"/>
        <v>40.095041322314053</v>
      </c>
      <c r="G44" s="23">
        <f t="shared" si="73"/>
        <v>34.115023474178408</v>
      </c>
      <c r="H44" s="23">
        <f t="shared" si="73"/>
        <v>37.205407085146049</v>
      </c>
      <c r="I44" s="23">
        <f t="shared" si="73"/>
        <v>38.544776119402982</v>
      </c>
      <c r="J44" s="23">
        <f t="shared" si="73"/>
        <v>38.5906862745098</v>
      </c>
      <c r="K44" s="23">
        <f t="shared" si="73"/>
        <v>38.743450479233218</v>
      </c>
      <c r="L44" s="23">
        <f t="shared" si="73"/>
        <v>38.870347773032336</v>
      </c>
      <c r="M44" s="23">
        <f t="shared" si="73"/>
        <v>37.099493029150821</v>
      </c>
      <c r="N44" s="23">
        <f t="shared" ref="N44:Y44" si="74">(N38/N32-8.1)/20*100</f>
        <v>38.716152019002365</v>
      </c>
      <c r="O44" s="68">
        <f t="shared" si="74"/>
        <v>36.361464004839675</v>
      </c>
      <c r="P44" s="67">
        <f t="shared" si="74"/>
        <v>36.941998810231993</v>
      </c>
      <c r="Q44" s="23">
        <f t="shared" si="74"/>
        <v>31.837254901960776</v>
      </c>
      <c r="R44" s="23">
        <f t="shared" si="74"/>
        <v>31.911483253588514</v>
      </c>
      <c r="S44" s="23">
        <f t="shared" si="74"/>
        <v>30.588253968253969</v>
      </c>
      <c r="T44" s="23">
        <f t="shared" si="74"/>
        <v>32.087463556851311</v>
      </c>
      <c r="U44" s="23">
        <f t="shared" si="74"/>
        <v>36.610526315789471</v>
      </c>
      <c r="V44" s="23">
        <f t="shared" si="74"/>
        <v>35.901791426743436</v>
      </c>
      <c r="W44" s="23">
        <f t="shared" si="74"/>
        <v>35.772493573264768</v>
      </c>
      <c r="X44" s="23">
        <f t="shared" si="74"/>
        <v>35.634196586227183</v>
      </c>
      <c r="Y44" s="68">
        <f t="shared" si="74"/>
        <v>34.93552311435522</v>
      </c>
      <c r="Z44" s="214" t="e">
        <f t="shared" ref="Z44:AW44" si="75">(Z38/Z32-8.1)/20*100</f>
        <v>#DIV/0!</v>
      </c>
      <c r="AA44" s="215" t="e">
        <f t="shared" si="75"/>
        <v>#DIV/0!</v>
      </c>
      <c r="AB44" s="23">
        <f t="shared" si="75"/>
        <v>43.407245114582771</v>
      </c>
      <c r="AC44" s="7">
        <f t="shared" si="75"/>
        <v>43.33199916831272</v>
      </c>
      <c r="AD44" s="67">
        <f t="shared" si="75"/>
        <v>43.851577135334907</v>
      </c>
      <c r="AE44" s="23">
        <f t="shared" si="75"/>
        <v>42.891841004184094</v>
      </c>
      <c r="AF44" s="23">
        <f t="shared" si="75"/>
        <v>41.34510782959736</v>
      </c>
      <c r="AG44" s="23">
        <f t="shared" si="75"/>
        <v>45.104927408710942</v>
      </c>
      <c r="AH44" s="23">
        <f t="shared" si="75"/>
        <v>45.146936656282442</v>
      </c>
      <c r="AI44" s="23">
        <f t="shared" si="75"/>
        <v>44.607097688065977</v>
      </c>
      <c r="AJ44" s="23">
        <f t="shared" si="75"/>
        <v>42.55429417571569</v>
      </c>
      <c r="AK44" s="23">
        <f t="shared" si="75"/>
        <v>43.058850787766445</v>
      </c>
      <c r="AL44" s="23" t="e">
        <f t="shared" si="75"/>
        <v>#DIV/0!</v>
      </c>
      <c r="AM44" s="68" t="e">
        <f t="shared" si="75"/>
        <v>#DIV/0!</v>
      </c>
      <c r="AN44" s="67" t="e">
        <f t="shared" si="75"/>
        <v>#DIV/0!</v>
      </c>
      <c r="AO44" s="23" t="e">
        <f t="shared" si="75"/>
        <v>#DIV/0!</v>
      </c>
      <c r="AP44" s="23" t="e">
        <f t="shared" si="75"/>
        <v>#DIV/0!</v>
      </c>
      <c r="AQ44" s="23" t="e">
        <f t="shared" si="75"/>
        <v>#DIV/0!</v>
      </c>
      <c r="AR44" s="23" t="e">
        <f t="shared" si="75"/>
        <v>#DIV/0!</v>
      </c>
      <c r="AS44" s="23" t="e">
        <f t="shared" si="75"/>
        <v>#DIV/0!</v>
      </c>
      <c r="AT44" s="23" t="e">
        <f t="shared" si="75"/>
        <v>#DIV/0!</v>
      </c>
      <c r="AU44" s="23" t="e">
        <f t="shared" si="75"/>
        <v>#DIV/0!</v>
      </c>
      <c r="AV44" s="23" t="e">
        <f t="shared" si="75"/>
        <v>#DIV/0!</v>
      </c>
      <c r="AW44" s="68" t="e">
        <f t="shared" si="75"/>
        <v>#DIV/0!</v>
      </c>
      <c r="AX44" s="143" t="e">
        <f t="shared" ref="AX44:AY44" si="76">(AX38/AX32-8.1)/20*100</f>
        <v>#DIV/0!</v>
      </c>
      <c r="AY44" s="23" t="e">
        <f t="shared" si="76"/>
        <v>#DIV/0!</v>
      </c>
      <c r="AZ44" s="17"/>
      <c r="BA44" s="17"/>
      <c r="BB44" s="17"/>
      <c r="BC44" s="17"/>
      <c r="BD44" s="17"/>
      <c r="BE44" s="17"/>
      <c r="BF44" s="17"/>
      <c r="BG44" s="17"/>
    </row>
    <row r="45" spans="1:59" ht="15.5" x14ac:dyDescent="0.35">
      <c r="A45" s="11" t="s">
        <v>46</v>
      </c>
      <c r="B45" s="124">
        <v>36.838806681283806</v>
      </c>
      <c r="C45" s="125">
        <v>37.715631034205423</v>
      </c>
      <c r="D45" s="23">
        <f t="shared" ref="D45:M45" si="77">(D39/D33-8.1)/20*100</f>
        <v>40.754383507926725</v>
      </c>
      <c r="E45" s="7">
        <f t="shared" si="77"/>
        <v>40.643515470704415</v>
      </c>
      <c r="F45" s="67">
        <f t="shared" si="77"/>
        <v>31.491735992507291</v>
      </c>
      <c r="G45" s="23">
        <f t="shared" si="77"/>
        <v>31.401646494384465</v>
      </c>
      <c r="H45" s="23">
        <f t="shared" si="77"/>
        <v>30.47761479940889</v>
      </c>
      <c r="I45" s="23">
        <f t="shared" si="77"/>
        <v>27.183291770573557</v>
      </c>
      <c r="J45" s="23">
        <f t="shared" si="77"/>
        <v>29.278977541535632</v>
      </c>
      <c r="K45" s="23">
        <f t="shared" si="77"/>
        <v>30.036477238092594</v>
      </c>
      <c r="L45" s="23">
        <f t="shared" si="77"/>
        <v>26.994310998735777</v>
      </c>
      <c r="M45" s="23">
        <f t="shared" si="77"/>
        <v>27.941872526272693</v>
      </c>
      <c r="N45" s="23">
        <f t="shared" ref="N45:Y45" si="78">(N39/N33-8.1)/20*100</f>
        <v>25.866316020162177</v>
      </c>
      <c r="O45" s="68">
        <f t="shared" si="78"/>
        <v>29.285583450059249</v>
      </c>
      <c r="P45" s="67">
        <f t="shared" si="78"/>
        <v>30.017592617217627</v>
      </c>
      <c r="Q45" s="23">
        <f t="shared" si="78"/>
        <v>28.356723608073313</v>
      </c>
      <c r="R45" s="23">
        <f t="shared" si="78"/>
        <v>29.0555735886824</v>
      </c>
      <c r="S45" s="23">
        <f t="shared" si="78"/>
        <v>30.461367053998618</v>
      </c>
      <c r="T45" s="23">
        <f t="shared" si="78"/>
        <v>27.473677770224324</v>
      </c>
      <c r="U45" s="23">
        <f t="shared" si="78"/>
        <v>28.472401003599863</v>
      </c>
      <c r="V45" s="23">
        <f t="shared" si="78"/>
        <v>28.98651804382655</v>
      </c>
      <c r="W45" s="23">
        <f t="shared" si="78"/>
        <v>28.863756792559947</v>
      </c>
      <c r="X45" s="23">
        <f t="shared" si="78"/>
        <v>28.285284207037503</v>
      </c>
      <c r="Y45" s="68">
        <f t="shared" si="78"/>
        <v>28.848379851543449</v>
      </c>
      <c r="Z45" s="214" t="e">
        <f t="shared" ref="Z45:AW45" si="79">(Z39/Z33-8.1)/20*100</f>
        <v>#DIV/0!</v>
      </c>
      <c r="AA45" s="215" t="e">
        <f t="shared" si="79"/>
        <v>#DIV/0!</v>
      </c>
      <c r="AB45" s="23">
        <f t="shared" si="79"/>
        <v>19.242589703588138</v>
      </c>
      <c r="AC45" s="7">
        <f t="shared" si="79"/>
        <v>20.047793302284322</v>
      </c>
      <c r="AD45" s="67">
        <f t="shared" si="79"/>
        <v>21.021158129175941</v>
      </c>
      <c r="AE45" s="23">
        <f t="shared" si="79"/>
        <v>20.464012838356009</v>
      </c>
      <c r="AF45" s="23">
        <f t="shared" si="79"/>
        <v>23.294689873066901</v>
      </c>
      <c r="AG45" s="23">
        <f t="shared" si="79"/>
        <v>21.031510923024133</v>
      </c>
      <c r="AH45" s="23">
        <f t="shared" si="79"/>
        <v>22.163007683863878</v>
      </c>
      <c r="AI45" s="23">
        <f t="shared" si="79"/>
        <v>20.388072538557982</v>
      </c>
      <c r="AJ45" s="23">
        <f t="shared" si="79"/>
        <v>19.833047210300421</v>
      </c>
      <c r="AK45" s="23">
        <f t="shared" si="79"/>
        <v>18.469627507163324</v>
      </c>
      <c r="AL45" s="23" t="e">
        <f t="shared" si="79"/>
        <v>#DIV/0!</v>
      </c>
      <c r="AM45" s="68" t="e">
        <f t="shared" si="79"/>
        <v>#DIV/0!</v>
      </c>
      <c r="AN45" s="67" t="e">
        <f t="shared" si="79"/>
        <v>#DIV/0!</v>
      </c>
      <c r="AO45" s="23" t="e">
        <f t="shared" si="79"/>
        <v>#DIV/0!</v>
      </c>
      <c r="AP45" s="23" t="e">
        <f t="shared" si="79"/>
        <v>#DIV/0!</v>
      </c>
      <c r="AQ45" s="23" t="e">
        <f t="shared" si="79"/>
        <v>#DIV/0!</v>
      </c>
      <c r="AR45" s="23" t="e">
        <f t="shared" si="79"/>
        <v>#DIV/0!</v>
      </c>
      <c r="AS45" s="23" t="e">
        <f t="shared" si="79"/>
        <v>#DIV/0!</v>
      </c>
      <c r="AT45" s="23" t="e">
        <f t="shared" si="79"/>
        <v>#DIV/0!</v>
      </c>
      <c r="AU45" s="23" t="e">
        <f t="shared" si="79"/>
        <v>#DIV/0!</v>
      </c>
      <c r="AV45" s="23" t="e">
        <f t="shared" si="79"/>
        <v>#DIV/0!</v>
      </c>
      <c r="AW45" s="68" t="e">
        <f t="shared" si="79"/>
        <v>#DIV/0!</v>
      </c>
      <c r="AX45" s="143" t="e">
        <f t="shared" ref="AX45:AY45" si="80">(AX39/AX33-8.1)/20*100</f>
        <v>#DIV/0!</v>
      </c>
      <c r="AY45" s="23" t="e">
        <f t="shared" si="80"/>
        <v>#DIV/0!</v>
      </c>
      <c r="AZ45" s="17"/>
      <c r="BA45" s="17"/>
      <c r="BB45" s="17"/>
      <c r="BC45" s="17"/>
      <c r="BD45" s="17"/>
      <c r="BE45" s="17"/>
      <c r="BF45" s="17"/>
      <c r="BG45" s="17"/>
    </row>
    <row r="46" spans="1:59" ht="15.5" x14ac:dyDescent="0.35">
      <c r="A46" s="11" t="s">
        <v>47</v>
      </c>
      <c r="B46" s="124">
        <v>37.35489738409877</v>
      </c>
      <c r="C46" s="125">
        <v>37.553517379048962</v>
      </c>
      <c r="D46" s="23">
        <f t="shared" ref="D46:M46" si="81">(D40/D34-8.1)/20*100</f>
        <v>18.419822921790459</v>
      </c>
      <c r="E46" s="7">
        <f t="shared" si="81"/>
        <v>17.339662447257382</v>
      </c>
      <c r="F46" s="67">
        <f t="shared" si="81"/>
        <v>28.539550613321108</v>
      </c>
      <c r="G46" s="23">
        <f t="shared" si="81"/>
        <v>34.292882376030363</v>
      </c>
      <c r="H46" s="23">
        <f t="shared" si="81"/>
        <v>34.859108851998045</v>
      </c>
      <c r="I46" s="23">
        <f t="shared" si="81"/>
        <v>35.394471786654449</v>
      </c>
      <c r="J46" s="23">
        <f t="shared" si="81"/>
        <v>34.75237889273356</v>
      </c>
      <c r="K46" s="23">
        <f t="shared" si="81"/>
        <v>35.884540010887321</v>
      </c>
      <c r="L46" s="23">
        <f t="shared" si="81"/>
        <v>34.850824931255737</v>
      </c>
      <c r="M46" s="23">
        <f t="shared" si="81"/>
        <v>36.044726594636103</v>
      </c>
      <c r="N46" s="23">
        <f t="shared" ref="N46:Y46" si="82">(N40/N34-8.1)/20*100</f>
        <v>36.131840796019901</v>
      </c>
      <c r="O46" s="68">
        <f t="shared" si="82"/>
        <v>36.676927343316692</v>
      </c>
      <c r="P46" s="67">
        <f t="shared" si="82"/>
        <v>37.634751773049643</v>
      </c>
      <c r="Q46" s="23">
        <f t="shared" si="82"/>
        <v>37.422681805893482</v>
      </c>
      <c r="R46" s="23">
        <f t="shared" si="82"/>
        <v>39.012612821106231</v>
      </c>
      <c r="S46" s="23">
        <f t="shared" si="82"/>
        <v>35.854802259887002</v>
      </c>
      <c r="T46" s="23">
        <f t="shared" si="82"/>
        <v>39.151760112256717</v>
      </c>
      <c r="U46" s="23">
        <f t="shared" si="82"/>
        <v>34.646493045279655</v>
      </c>
      <c r="V46" s="23">
        <f t="shared" si="82"/>
        <v>34.951025581931319</v>
      </c>
      <c r="W46" s="23">
        <f t="shared" si="82"/>
        <v>34.039137894059614</v>
      </c>
      <c r="X46" s="23">
        <f t="shared" si="82"/>
        <v>33.789096642141949</v>
      </c>
      <c r="Y46" s="68">
        <f t="shared" si="82"/>
        <v>32.670280363413404</v>
      </c>
      <c r="Z46" s="214" t="e">
        <f t="shared" ref="Z46:AW46" si="83">(Z40/Z34-8.1)/20*100</f>
        <v>#DIV/0!</v>
      </c>
      <c r="AA46" s="215" t="e">
        <f t="shared" si="83"/>
        <v>#DIV/0!</v>
      </c>
      <c r="AB46" s="23">
        <f t="shared" si="83"/>
        <v>43.577703682226733</v>
      </c>
      <c r="AC46" s="7">
        <f t="shared" si="83"/>
        <v>39.91520136131593</v>
      </c>
      <c r="AD46" s="67">
        <f t="shared" si="83"/>
        <v>39.099175446633069</v>
      </c>
      <c r="AE46" s="23">
        <f t="shared" si="83"/>
        <v>37.655132373432416</v>
      </c>
      <c r="AF46" s="23">
        <f t="shared" si="83"/>
        <v>36.051003829639079</v>
      </c>
      <c r="AG46" s="23">
        <f t="shared" si="83"/>
        <v>34.08772850278897</v>
      </c>
      <c r="AH46" s="23">
        <f t="shared" si="83"/>
        <v>36.388096847538861</v>
      </c>
      <c r="AI46" s="23">
        <f t="shared" si="83"/>
        <v>37.053380782918147</v>
      </c>
      <c r="AJ46" s="23">
        <f t="shared" si="83"/>
        <v>35.523641992682229</v>
      </c>
      <c r="AK46" s="23">
        <f t="shared" si="83"/>
        <v>37.14895145073254</v>
      </c>
      <c r="AL46" s="23" t="e">
        <f t="shared" si="83"/>
        <v>#DIV/0!</v>
      </c>
      <c r="AM46" s="68" t="e">
        <f t="shared" si="83"/>
        <v>#DIV/0!</v>
      </c>
      <c r="AN46" s="67" t="e">
        <f t="shared" si="83"/>
        <v>#DIV/0!</v>
      </c>
      <c r="AO46" s="23" t="e">
        <f t="shared" si="83"/>
        <v>#DIV/0!</v>
      </c>
      <c r="AP46" s="23" t="e">
        <f t="shared" si="83"/>
        <v>#DIV/0!</v>
      </c>
      <c r="AQ46" s="23" t="e">
        <f t="shared" si="83"/>
        <v>#DIV/0!</v>
      </c>
      <c r="AR46" s="23" t="e">
        <f t="shared" si="83"/>
        <v>#DIV/0!</v>
      </c>
      <c r="AS46" s="23" t="e">
        <f t="shared" si="83"/>
        <v>#DIV/0!</v>
      </c>
      <c r="AT46" s="23" t="e">
        <f t="shared" si="83"/>
        <v>#DIV/0!</v>
      </c>
      <c r="AU46" s="23" t="e">
        <f t="shared" si="83"/>
        <v>#DIV/0!</v>
      </c>
      <c r="AV46" s="23" t="e">
        <f t="shared" si="83"/>
        <v>#DIV/0!</v>
      </c>
      <c r="AW46" s="68" t="e">
        <f t="shared" si="83"/>
        <v>#DIV/0!</v>
      </c>
      <c r="AX46" s="143" t="e">
        <f t="shared" ref="AX46:AY46" si="84">(AX40/AX34-8.1)/20*100</f>
        <v>#DIV/0!</v>
      </c>
      <c r="AY46" s="23" t="e">
        <f t="shared" si="84"/>
        <v>#DIV/0!</v>
      </c>
      <c r="AZ46" s="17"/>
      <c r="BA46" s="17"/>
      <c r="BB46" s="17"/>
      <c r="BC46" s="17"/>
      <c r="BD46" s="17"/>
      <c r="BE46" s="17"/>
      <c r="BF46" s="17"/>
      <c r="BG46" s="17"/>
    </row>
    <row r="47" spans="1:59" ht="15.5" x14ac:dyDescent="0.35">
      <c r="A47" s="11" t="s">
        <v>48</v>
      </c>
      <c r="B47" s="124">
        <v>37.6840779746965</v>
      </c>
      <c r="C47" s="125">
        <v>36.795987606569504</v>
      </c>
      <c r="D47" s="23">
        <f t="shared" ref="D47:M47" si="85">(D41/D35-8.1)/20*100</f>
        <v>28.433333333333326</v>
      </c>
      <c r="E47" s="7">
        <f t="shared" si="85"/>
        <v>29.918488096895445</v>
      </c>
      <c r="F47" s="67">
        <f t="shared" si="85"/>
        <v>34.126949582879938</v>
      </c>
      <c r="G47" s="23">
        <f t="shared" si="85"/>
        <v>33.221854304635762</v>
      </c>
      <c r="H47" s="23">
        <f t="shared" si="85"/>
        <v>34.433433269311848</v>
      </c>
      <c r="I47" s="23">
        <f t="shared" si="85"/>
        <v>35.929488919041148</v>
      </c>
      <c r="J47" s="23">
        <f t="shared" si="85"/>
        <v>33.616428538401067</v>
      </c>
      <c r="K47" s="23">
        <f t="shared" si="85"/>
        <v>30.887608994951808</v>
      </c>
      <c r="L47" s="23">
        <f t="shared" si="85"/>
        <v>34.573593073593059</v>
      </c>
      <c r="M47" s="23">
        <f t="shared" si="85"/>
        <v>34.457140217993718</v>
      </c>
      <c r="N47" s="23">
        <f t="shared" ref="N47:Y47" si="86">(N41/N35-8.1)/20*100</f>
        <v>34.974041910515375</v>
      </c>
      <c r="O47" s="68">
        <f t="shared" si="86"/>
        <v>33.175954592363254</v>
      </c>
      <c r="P47" s="67">
        <f t="shared" si="86"/>
        <v>31.68429127547515</v>
      </c>
      <c r="Q47" s="23">
        <f t="shared" si="86"/>
        <v>35.3715840720158</v>
      </c>
      <c r="R47" s="23">
        <f t="shared" si="86"/>
        <v>33.271365960555144</v>
      </c>
      <c r="S47" s="23">
        <f t="shared" si="86"/>
        <v>34.484928273106952</v>
      </c>
      <c r="T47" s="23">
        <f t="shared" si="86"/>
        <v>32.443422184006877</v>
      </c>
      <c r="U47" s="23">
        <f t="shared" si="86"/>
        <v>34.983649487258482</v>
      </c>
      <c r="V47" s="23">
        <f t="shared" si="86"/>
        <v>34.986116119725928</v>
      </c>
      <c r="W47" s="23">
        <f t="shared" si="86"/>
        <v>35.82653833420045</v>
      </c>
      <c r="X47" s="23">
        <f t="shared" si="86"/>
        <v>35.974227758995958</v>
      </c>
      <c r="Y47" s="68">
        <f t="shared" si="86"/>
        <v>37.731811894882426</v>
      </c>
      <c r="Z47" s="214" t="e">
        <f t="shared" ref="Z47:AW47" si="87">(Z41/Z35-8.1)/20*100</f>
        <v>#DIV/0!</v>
      </c>
      <c r="AA47" s="215" t="e">
        <f t="shared" si="87"/>
        <v>#DIV/0!</v>
      </c>
      <c r="AB47" s="23">
        <f t="shared" si="87"/>
        <v>35.017197933728106</v>
      </c>
      <c r="AC47" s="7">
        <f t="shared" si="87"/>
        <v>36.818348189295087</v>
      </c>
      <c r="AD47" s="67">
        <f t="shared" si="87"/>
        <v>36.215415019762844</v>
      </c>
      <c r="AE47" s="23">
        <f t="shared" si="87"/>
        <v>37.130644554910397</v>
      </c>
      <c r="AF47" s="23">
        <f t="shared" si="87"/>
        <v>36.028177076707792</v>
      </c>
      <c r="AG47" s="23">
        <f t="shared" si="87"/>
        <v>37.60439536599123</v>
      </c>
      <c r="AH47" s="23">
        <f t="shared" si="87"/>
        <v>36.861465298832904</v>
      </c>
      <c r="AI47" s="23">
        <f t="shared" si="87"/>
        <v>37.051282051282051</v>
      </c>
      <c r="AJ47" s="23">
        <f t="shared" si="87"/>
        <v>38.741850145075951</v>
      </c>
      <c r="AK47" s="23">
        <f t="shared" si="87"/>
        <v>38.46892764029576</v>
      </c>
      <c r="AL47" s="23" t="e">
        <f t="shared" si="87"/>
        <v>#DIV/0!</v>
      </c>
      <c r="AM47" s="68" t="e">
        <f t="shared" si="87"/>
        <v>#DIV/0!</v>
      </c>
      <c r="AN47" s="67" t="e">
        <f t="shared" si="87"/>
        <v>#DIV/0!</v>
      </c>
      <c r="AO47" s="23" t="e">
        <f t="shared" si="87"/>
        <v>#DIV/0!</v>
      </c>
      <c r="AP47" s="23" t="e">
        <f t="shared" si="87"/>
        <v>#DIV/0!</v>
      </c>
      <c r="AQ47" s="23" t="e">
        <f t="shared" si="87"/>
        <v>#DIV/0!</v>
      </c>
      <c r="AR47" s="23" t="e">
        <f t="shared" si="87"/>
        <v>#DIV/0!</v>
      </c>
      <c r="AS47" s="23" t="e">
        <f t="shared" si="87"/>
        <v>#DIV/0!</v>
      </c>
      <c r="AT47" s="23" t="e">
        <f t="shared" si="87"/>
        <v>#DIV/0!</v>
      </c>
      <c r="AU47" s="23" t="e">
        <f t="shared" si="87"/>
        <v>#DIV/0!</v>
      </c>
      <c r="AV47" s="23" t="e">
        <f t="shared" si="87"/>
        <v>#DIV/0!</v>
      </c>
      <c r="AW47" s="68" t="e">
        <f t="shared" si="87"/>
        <v>#DIV/0!</v>
      </c>
      <c r="AX47" s="143" t="e">
        <f t="shared" ref="AX47:AY47" si="88">(AX41/AX35-8.1)/20*100</f>
        <v>#DIV/0!</v>
      </c>
      <c r="AY47" s="23" t="e">
        <f t="shared" si="88"/>
        <v>#DIV/0!</v>
      </c>
      <c r="AZ47" s="17"/>
      <c r="BA47" s="17"/>
      <c r="BB47" s="17"/>
      <c r="BC47" s="17"/>
      <c r="BD47" s="17"/>
      <c r="BE47" s="17"/>
      <c r="BF47" s="17"/>
      <c r="BG47" s="17"/>
    </row>
    <row r="48" spans="1:59" x14ac:dyDescent="0.35">
      <c r="A48" s="123"/>
      <c r="B48" s="126"/>
      <c r="C48" s="126"/>
      <c r="D48" s="109"/>
      <c r="E48" s="6"/>
      <c r="F48" s="160"/>
      <c r="G48" s="109"/>
      <c r="H48" s="109"/>
      <c r="I48" s="109"/>
      <c r="J48" s="109"/>
      <c r="K48" s="109"/>
      <c r="L48" s="109"/>
      <c r="M48" s="109"/>
      <c r="N48" s="109"/>
      <c r="O48" s="161"/>
      <c r="P48" s="160"/>
      <c r="Q48" s="109"/>
      <c r="R48" s="109"/>
      <c r="S48" s="109"/>
      <c r="T48" s="109"/>
      <c r="U48" s="109"/>
      <c r="V48" s="109"/>
      <c r="W48" s="109"/>
      <c r="X48" s="109"/>
      <c r="Y48" s="161"/>
      <c r="Z48" s="214"/>
      <c r="AA48" s="215"/>
      <c r="AB48" s="109"/>
      <c r="AC48" s="6"/>
      <c r="AD48" s="160"/>
      <c r="AE48" s="109"/>
      <c r="AF48" s="109"/>
      <c r="AG48" s="109"/>
      <c r="AH48" s="109"/>
      <c r="AI48" s="109"/>
      <c r="AJ48" s="109"/>
      <c r="AK48" s="109"/>
      <c r="AL48" s="109"/>
      <c r="AM48" s="161"/>
      <c r="AN48" s="160"/>
      <c r="AO48" s="109"/>
      <c r="AP48" s="109"/>
      <c r="AQ48" s="109"/>
      <c r="AR48" s="109"/>
      <c r="AS48" s="109"/>
      <c r="AT48" s="109"/>
      <c r="AU48" s="109"/>
      <c r="AV48" s="109"/>
      <c r="AW48" s="161"/>
      <c r="AX48" s="142"/>
      <c r="AY48" s="109"/>
      <c r="AZ48" s="17"/>
      <c r="BA48" s="17"/>
      <c r="BB48" s="17"/>
      <c r="BC48" s="17"/>
      <c r="BD48" s="17"/>
      <c r="BE48" s="17"/>
      <c r="BF48" s="17"/>
      <c r="BG48" s="17"/>
    </row>
    <row r="49" spans="1:59" ht="15" x14ac:dyDescent="0.35">
      <c r="A49" s="11" t="s">
        <v>49</v>
      </c>
      <c r="B49" s="126"/>
      <c r="C49" s="126"/>
      <c r="D49" s="23">
        <f t="shared" ref="D49:M49" si="89">-(D13*2+D14)+D17*2+D16</f>
        <v>597.90000000000009</v>
      </c>
      <c r="E49" s="7">
        <f t="shared" si="89"/>
        <v>440.69999999999982</v>
      </c>
      <c r="F49" s="67">
        <f t="shared" si="89"/>
        <v>94.600000000000023</v>
      </c>
      <c r="G49" s="23">
        <f t="shared" si="89"/>
        <v>-72.500000000000114</v>
      </c>
      <c r="H49" s="23">
        <f t="shared" si="89"/>
        <v>-142.90000000000009</v>
      </c>
      <c r="I49" s="23">
        <f t="shared" si="89"/>
        <v>-84.100000000000136</v>
      </c>
      <c r="J49" s="23">
        <f t="shared" si="89"/>
        <v>-41.099999999999966</v>
      </c>
      <c r="K49" s="23">
        <f t="shared" si="89"/>
        <v>120.7999999999999</v>
      </c>
      <c r="L49" s="23">
        <f t="shared" si="89"/>
        <v>50.300000000000068</v>
      </c>
      <c r="M49" s="23">
        <f t="shared" si="89"/>
        <v>-47.299999999999898</v>
      </c>
      <c r="N49" s="23">
        <f t="shared" ref="N49:Y49" si="90">-(N13*2+N14)+N17*2+N16</f>
        <v>-8.6999999999999318</v>
      </c>
      <c r="O49" s="68">
        <f t="shared" si="90"/>
        <v>-97.099999999999909</v>
      </c>
      <c r="P49" s="67">
        <f t="shared" si="90"/>
        <v>-47.399999999999977</v>
      </c>
      <c r="Q49" s="23">
        <f t="shared" si="90"/>
        <v>-164.80000000000007</v>
      </c>
      <c r="R49" s="23">
        <f t="shared" si="90"/>
        <v>-115.99999999999991</v>
      </c>
      <c r="S49" s="23">
        <f t="shared" si="90"/>
        <v>-154.40000000000009</v>
      </c>
      <c r="T49" s="23">
        <f t="shared" si="90"/>
        <v>106.19999999999993</v>
      </c>
      <c r="U49" s="23">
        <f t="shared" si="90"/>
        <v>-102.29999999999995</v>
      </c>
      <c r="V49" s="23">
        <f t="shared" si="90"/>
        <v>-139.99999999999994</v>
      </c>
      <c r="W49" s="23">
        <f t="shared" si="90"/>
        <v>-155.00000000000011</v>
      </c>
      <c r="X49" s="23">
        <f t="shared" si="90"/>
        <v>-112.20000000000005</v>
      </c>
      <c r="Y49" s="68">
        <f t="shared" si="90"/>
        <v>-208.8</v>
      </c>
      <c r="Z49" s="214">
        <f t="shared" ref="Z49:AW49" si="91">-(Z13*2+Z14)+Z17*2+Z16</f>
        <v>0</v>
      </c>
      <c r="AA49" s="215">
        <f t="shared" si="91"/>
        <v>0</v>
      </c>
      <c r="AB49" s="23">
        <f t="shared" si="91"/>
        <v>68.700000000000045</v>
      </c>
      <c r="AC49" s="7">
        <f t="shared" si="91"/>
        <v>-52.200000000000045</v>
      </c>
      <c r="AD49" s="67">
        <f t="shared" si="91"/>
        <v>-7.4000000000000625</v>
      </c>
      <c r="AE49" s="23">
        <f t="shared" si="91"/>
        <v>13.300000000000011</v>
      </c>
      <c r="AF49" s="23">
        <f t="shared" si="91"/>
        <v>68.600000000000023</v>
      </c>
      <c r="AG49" s="23">
        <f t="shared" si="91"/>
        <v>19.900000000000034</v>
      </c>
      <c r="AH49" s="23">
        <f t="shared" si="91"/>
        <v>12.300000000000011</v>
      </c>
      <c r="AI49" s="23">
        <f t="shared" si="91"/>
        <v>-11.500000000000114</v>
      </c>
      <c r="AJ49" s="23">
        <f t="shared" si="91"/>
        <v>-63.100000000000023</v>
      </c>
      <c r="AK49" s="23">
        <f t="shared" si="91"/>
        <v>-57.300000000000068</v>
      </c>
      <c r="AL49" s="23">
        <f t="shared" si="91"/>
        <v>0</v>
      </c>
      <c r="AM49" s="68">
        <f t="shared" si="91"/>
        <v>0</v>
      </c>
      <c r="AN49" s="67">
        <f t="shared" si="91"/>
        <v>0</v>
      </c>
      <c r="AO49" s="23">
        <f t="shared" si="91"/>
        <v>0</v>
      </c>
      <c r="AP49" s="23">
        <f t="shared" si="91"/>
        <v>0</v>
      </c>
      <c r="AQ49" s="23">
        <f t="shared" si="91"/>
        <v>0</v>
      </c>
      <c r="AR49" s="23">
        <f t="shared" si="91"/>
        <v>0</v>
      </c>
      <c r="AS49" s="23">
        <f t="shared" si="91"/>
        <v>0</v>
      </c>
      <c r="AT49" s="23">
        <f t="shared" si="91"/>
        <v>0</v>
      </c>
      <c r="AU49" s="23">
        <f t="shared" si="91"/>
        <v>0</v>
      </c>
      <c r="AV49" s="23">
        <f t="shared" si="91"/>
        <v>0</v>
      </c>
      <c r="AW49" s="68">
        <f t="shared" si="91"/>
        <v>0</v>
      </c>
      <c r="AX49" s="143">
        <f t="shared" ref="AX49:AY49" si="92">-(AX13*2+AX14)+AX17*2+AX16</f>
        <v>0</v>
      </c>
      <c r="AY49" s="23">
        <f t="shared" si="92"/>
        <v>0</v>
      </c>
      <c r="AZ49" s="17"/>
      <c r="BA49" s="17"/>
      <c r="BB49" s="17"/>
      <c r="BC49" s="17"/>
      <c r="BD49" s="17"/>
      <c r="BE49" s="17"/>
      <c r="BF49" s="17"/>
      <c r="BG49" s="17"/>
    </row>
    <row r="50" spans="1:59" ht="15" x14ac:dyDescent="0.35">
      <c r="A50" s="11" t="s">
        <v>50</v>
      </c>
      <c r="B50" s="126"/>
      <c r="C50" s="126"/>
      <c r="D50" s="23">
        <f t="shared" ref="D50:M50" si="93">-(D20*2+D21)+D24*2+D23</f>
        <v>-598.10000000000036</v>
      </c>
      <c r="E50" s="7">
        <f t="shared" si="93"/>
        <v>-444.80000000000018</v>
      </c>
      <c r="F50" s="67">
        <f t="shared" si="93"/>
        <v>-86.600000000000136</v>
      </c>
      <c r="G50" s="23">
        <f t="shared" si="93"/>
        <v>100.09999999999968</v>
      </c>
      <c r="H50" s="23">
        <f t="shared" si="93"/>
        <v>139.39999999999986</v>
      </c>
      <c r="I50" s="23">
        <f t="shared" si="93"/>
        <v>84.700000000000273</v>
      </c>
      <c r="J50" s="23">
        <f t="shared" si="93"/>
        <v>44.899999999999636</v>
      </c>
      <c r="K50" s="23">
        <f t="shared" si="93"/>
        <v>-116.20000000000005</v>
      </c>
      <c r="L50" s="23">
        <f t="shared" si="93"/>
        <v>-43.900000000000318</v>
      </c>
      <c r="M50" s="23">
        <f t="shared" si="93"/>
        <v>64</v>
      </c>
      <c r="N50" s="23">
        <f t="shared" ref="N50:Y50" si="94">-(N20*2+N21)+N24*2+N23</f>
        <v>15.899999999999864</v>
      </c>
      <c r="O50" s="68">
        <f t="shared" si="94"/>
        <v>100.70000000000027</v>
      </c>
      <c r="P50" s="67">
        <f t="shared" si="94"/>
        <v>52.000000000000455</v>
      </c>
      <c r="Q50" s="23">
        <f t="shared" si="94"/>
        <v>171.09999999999945</v>
      </c>
      <c r="R50" s="23">
        <f t="shared" si="94"/>
        <v>119.60000000000014</v>
      </c>
      <c r="S50" s="23">
        <f t="shared" si="94"/>
        <v>155</v>
      </c>
      <c r="T50" s="23">
        <f t="shared" si="94"/>
        <v>107.89999999999964</v>
      </c>
      <c r="U50" s="23">
        <f t="shared" si="94"/>
        <v>104.79999999999973</v>
      </c>
      <c r="V50" s="23">
        <f t="shared" si="94"/>
        <v>140.40000000000055</v>
      </c>
      <c r="W50" s="23">
        <f t="shared" si="94"/>
        <v>153.7999999999995</v>
      </c>
      <c r="X50" s="23">
        <f t="shared" si="94"/>
        <v>107.70000000000005</v>
      </c>
      <c r="Y50" s="68">
        <f t="shared" si="94"/>
        <v>206.30000000000064</v>
      </c>
      <c r="Z50" s="214">
        <f t="shared" ref="Z50:AW50" si="95">-(Z20*2+Z21)+Z24*2+Z23</f>
        <v>0</v>
      </c>
      <c r="AA50" s="215">
        <f t="shared" si="95"/>
        <v>0</v>
      </c>
      <c r="AB50" s="23">
        <f t="shared" si="95"/>
        <v>-65.5</v>
      </c>
      <c r="AC50" s="7">
        <f t="shared" si="95"/>
        <v>57.200000000000273</v>
      </c>
      <c r="AD50" s="67">
        <f t="shared" si="95"/>
        <v>8.9000000000005457</v>
      </c>
      <c r="AE50" s="23">
        <f t="shared" si="95"/>
        <v>-16.299999999999955</v>
      </c>
      <c r="AF50" s="23">
        <f t="shared" si="95"/>
        <v>-61.400000000000091</v>
      </c>
      <c r="AG50" s="23">
        <f t="shared" si="95"/>
        <v>-16.300000000000182</v>
      </c>
      <c r="AH50" s="23">
        <f t="shared" si="95"/>
        <v>-1.8000000000001819</v>
      </c>
      <c r="AI50" s="23">
        <f t="shared" si="95"/>
        <v>7.8000000000006366</v>
      </c>
      <c r="AJ50" s="23">
        <f t="shared" si="95"/>
        <v>54.199999999999818</v>
      </c>
      <c r="AK50" s="23">
        <f t="shared" si="95"/>
        <v>53.400000000000091</v>
      </c>
      <c r="AL50" s="23">
        <f t="shared" si="95"/>
        <v>0</v>
      </c>
      <c r="AM50" s="68">
        <f t="shared" si="95"/>
        <v>0</v>
      </c>
      <c r="AN50" s="67">
        <f t="shared" si="95"/>
        <v>0</v>
      </c>
      <c r="AO50" s="23">
        <f t="shared" si="95"/>
        <v>0</v>
      </c>
      <c r="AP50" s="23">
        <f t="shared" si="95"/>
        <v>0</v>
      </c>
      <c r="AQ50" s="23">
        <f t="shared" si="95"/>
        <v>0</v>
      </c>
      <c r="AR50" s="23">
        <f t="shared" si="95"/>
        <v>0</v>
      </c>
      <c r="AS50" s="23">
        <f t="shared" si="95"/>
        <v>0</v>
      </c>
      <c r="AT50" s="23">
        <f t="shared" si="95"/>
        <v>0</v>
      </c>
      <c r="AU50" s="23">
        <f t="shared" si="95"/>
        <v>0</v>
      </c>
      <c r="AV50" s="23">
        <f t="shared" si="95"/>
        <v>0</v>
      </c>
      <c r="AW50" s="68">
        <f t="shared" si="95"/>
        <v>0</v>
      </c>
      <c r="AX50" s="143">
        <f t="shared" ref="AX50:AY50" si="96">-(AX20*2+AX21)+AX24*2+AX23</f>
        <v>0</v>
      </c>
      <c r="AY50" s="23">
        <f t="shared" si="96"/>
        <v>0</v>
      </c>
      <c r="AZ50" s="17"/>
      <c r="BA50" s="17"/>
      <c r="BB50" s="17"/>
      <c r="BC50" s="17"/>
      <c r="BD50" s="17"/>
      <c r="BE50" s="17"/>
      <c r="BF50" s="17"/>
      <c r="BG50" s="17"/>
    </row>
    <row r="51" spans="1:59" ht="16" thickBot="1" x14ac:dyDescent="0.4">
      <c r="A51" s="11" t="s">
        <v>51</v>
      </c>
      <c r="B51" s="124">
        <v>-2.1177400361488158E-2</v>
      </c>
      <c r="C51" s="125">
        <v>-8.6834717159389695E-3</v>
      </c>
      <c r="D51" s="110">
        <f t="shared" ref="D51:M51" si="97">(D49+D50)/D27/0.2</f>
        <v>-8.6950473010691799E-5</v>
      </c>
      <c r="E51" s="133">
        <f t="shared" si="97"/>
        <v>-1.7829963035444069E-3</v>
      </c>
      <c r="F51" s="162">
        <f t="shared" si="97"/>
        <v>3.4778677193012474E-3</v>
      </c>
      <c r="G51" s="163">
        <f t="shared" si="97"/>
        <v>1.1988845161458282E-2</v>
      </c>
      <c r="H51" s="163">
        <f t="shared" si="97"/>
        <v>-1.5212364609955961E-3</v>
      </c>
      <c r="I51" s="163">
        <f t="shared" si="97"/>
        <v>2.6081286676815321E-4</v>
      </c>
      <c r="J51" s="163">
        <f t="shared" si="97"/>
        <v>1.6511401557284442E-3</v>
      </c>
      <c r="K51" s="163">
        <f t="shared" si="97"/>
        <v>1.9995131620126629E-3</v>
      </c>
      <c r="L51" s="163">
        <f t="shared" si="97"/>
        <v>2.7805535039317677E-3</v>
      </c>
      <c r="M51" s="163">
        <f t="shared" si="97"/>
        <v>7.2548764064468921E-3</v>
      </c>
      <c r="N51" s="163">
        <f t="shared" ref="N51:Y51" si="98">(N49+N50)/N27/0.2</f>
        <v>3.130380341211427E-3</v>
      </c>
      <c r="O51" s="164">
        <f t="shared" si="98"/>
        <v>1.5645099607135744E-3</v>
      </c>
      <c r="P51" s="162">
        <f t="shared" si="98"/>
        <v>1.9994262515975751E-3</v>
      </c>
      <c r="Q51" s="163">
        <f t="shared" si="98"/>
        <v>2.7385112930986845E-3</v>
      </c>
      <c r="R51" s="163">
        <f t="shared" si="98"/>
        <v>1.5646051545048555E-3</v>
      </c>
      <c r="S51" s="163">
        <f t="shared" si="98"/>
        <v>2.6074939375762E-4</v>
      </c>
      <c r="T51" s="163">
        <f t="shared" si="98"/>
        <v>9.3052163104230395E-2</v>
      </c>
      <c r="U51" s="163">
        <f t="shared" si="98"/>
        <v>1.0865785813629052E-3</v>
      </c>
      <c r="V51" s="163">
        <f t="shared" si="98"/>
        <v>1.7384955059917355E-4</v>
      </c>
      <c r="W51" s="163">
        <f t="shared" si="98"/>
        <v>-5.2156225280149072E-4</v>
      </c>
      <c r="X51" s="163">
        <f t="shared" si="98"/>
        <v>-1.9560965007607038E-3</v>
      </c>
      <c r="Y51" s="164">
        <f t="shared" si="98"/>
        <v>-1.0866447019548195E-3</v>
      </c>
      <c r="Z51" s="216" t="e">
        <f t="shared" ref="Z51:AW51" si="99">(Z49+Z50)/Z27/0.2</f>
        <v>#DIV/0!</v>
      </c>
      <c r="AA51" s="217" t="e">
        <f t="shared" si="99"/>
        <v>#DIV/0!</v>
      </c>
      <c r="AB51" s="110">
        <f t="shared" si="99"/>
        <v>1.3495845809961811E-3</v>
      </c>
      <c r="AC51" s="133">
        <f t="shared" si="99"/>
        <v>2.108690334607078E-3</v>
      </c>
      <c r="AD51" s="162">
        <f t="shared" si="99"/>
        <v>6.3271917392205038E-4</v>
      </c>
      <c r="AE51" s="163">
        <f t="shared" si="99"/>
        <v>-1.2658655144477209E-3</v>
      </c>
      <c r="AF51" s="163">
        <f>(AF49+AF50)/AF27/0.2</f>
        <v>3.0385900941962639E-3</v>
      </c>
      <c r="AG51" s="163">
        <f t="shared" si="99"/>
        <v>1.5197953342282614E-3</v>
      </c>
      <c r="AH51" s="163">
        <f t="shared" si="99"/>
        <v>4.4273534546005805E-3</v>
      </c>
      <c r="AI51" s="163">
        <f t="shared" si="99"/>
        <v>-1.5598519405399097E-3</v>
      </c>
      <c r="AJ51" s="163">
        <f t="shared" si="99"/>
        <v>-3.7507164289809019E-3</v>
      </c>
      <c r="AK51" s="163">
        <f t="shared" si="99"/>
        <v>-1.6440296431190938E-3</v>
      </c>
      <c r="AL51" s="163" t="e">
        <f t="shared" si="99"/>
        <v>#DIV/0!</v>
      </c>
      <c r="AM51" s="164" t="e">
        <f t="shared" si="99"/>
        <v>#DIV/0!</v>
      </c>
      <c r="AN51" s="162" t="e">
        <f t="shared" si="99"/>
        <v>#DIV/0!</v>
      </c>
      <c r="AO51" s="163" t="e">
        <f t="shared" si="99"/>
        <v>#DIV/0!</v>
      </c>
      <c r="AP51" s="163" t="e">
        <f t="shared" si="99"/>
        <v>#DIV/0!</v>
      </c>
      <c r="AQ51" s="163" t="e">
        <f t="shared" si="99"/>
        <v>#DIV/0!</v>
      </c>
      <c r="AR51" s="163" t="e">
        <f t="shared" si="99"/>
        <v>#DIV/0!</v>
      </c>
      <c r="AS51" s="163" t="e">
        <f t="shared" si="99"/>
        <v>#DIV/0!</v>
      </c>
      <c r="AT51" s="163" t="e">
        <f t="shared" si="99"/>
        <v>#DIV/0!</v>
      </c>
      <c r="AU51" s="163" t="e">
        <f t="shared" si="99"/>
        <v>#DIV/0!</v>
      </c>
      <c r="AV51" s="163" t="e">
        <f t="shared" si="99"/>
        <v>#DIV/0!</v>
      </c>
      <c r="AW51" s="164" t="e">
        <f t="shared" si="99"/>
        <v>#DIV/0!</v>
      </c>
      <c r="AX51" s="144" t="e">
        <f t="shared" ref="AX51:AY51" si="100">(AX49+AX50)/AX27/0.2</f>
        <v>#DIV/0!</v>
      </c>
      <c r="AY51" s="110" t="e">
        <f t="shared" si="100"/>
        <v>#DIV/0!</v>
      </c>
      <c r="AZ51" s="100"/>
      <c r="BA51" s="100"/>
      <c r="BB51" s="100"/>
      <c r="BC51" s="100"/>
      <c r="BD51" s="100"/>
      <c r="BE51" s="100"/>
      <c r="BF51" s="100"/>
      <c r="BG51" s="100"/>
    </row>
  </sheetData>
  <mergeCells count="15">
    <mergeCell ref="AW6:BG6"/>
    <mergeCell ref="AW4:BF4"/>
    <mergeCell ref="D2:AA2"/>
    <mergeCell ref="P4:Y4"/>
    <mergeCell ref="P3:AA3"/>
    <mergeCell ref="D3:E3"/>
    <mergeCell ref="F3:O3"/>
    <mergeCell ref="D4:E4"/>
    <mergeCell ref="F4:O4"/>
    <mergeCell ref="AB2:AY2"/>
    <mergeCell ref="AB3:AC3"/>
    <mergeCell ref="AD3:AM3"/>
    <mergeCell ref="AN3:AY3"/>
    <mergeCell ref="AB4:AC4"/>
    <mergeCell ref="AD4:AM4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2FF7-9377-42CE-B5E8-2233DAF1EAF9}">
  <dimension ref="A1:BB46"/>
  <sheetViews>
    <sheetView topLeftCell="P1" zoomScaleNormal="100" workbookViewId="0">
      <selection activeCell="W16" sqref="W16"/>
    </sheetView>
  </sheetViews>
  <sheetFormatPr defaultRowHeight="14.5" x14ac:dyDescent="0.35"/>
  <cols>
    <col min="6" max="15" width="8.81640625" bestFit="1" customWidth="1"/>
    <col min="16" max="21" width="9" bestFit="1" customWidth="1"/>
    <col min="32" max="44" width="9" bestFit="1" customWidth="1"/>
    <col min="50" max="50" width="10" bestFit="1" customWidth="1"/>
  </cols>
  <sheetData>
    <row r="1" spans="1:54" ht="15" thickBot="1" x14ac:dyDescent="0.4">
      <c r="A1" s="230" t="s">
        <v>52</v>
      </c>
      <c r="B1" s="231"/>
      <c r="C1" s="231"/>
      <c r="D1" s="231"/>
      <c r="E1" s="232"/>
      <c r="F1" s="230" t="s">
        <v>217</v>
      </c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2"/>
      <c r="V1" s="233" t="s">
        <v>215</v>
      </c>
      <c r="W1" s="234"/>
      <c r="X1" s="234"/>
      <c r="Y1" s="234"/>
      <c r="Z1" s="234"/>
      <c r="AA1" s="234"/>
      <c r="AB1" s="234"/>
      <c r="AC1" s="234"/>
      <c r="AD1" s="234"/>
      <c r="AE1" s="235"/>
      <c r="AF1" s="236" t="s">
        <v>216</v>
      </c>
      <c r="AG1" s="237"/>
      <c r="AH1" s="237"/>
      <c r="AI1" s="237"/>
      <c r="AJ1" s="237"/>
      <c r="AK1" s="237"/>
      <c r="AL1" s="237"/>
      <c r="AM1" s="237"/>
      <c r="AN1" s="237"/>
      <c r="AO1" s="238"/>
      <c r="AP1" s="83"/>
      <c r="AQ1" s="83"/>
      <c r="AR1" s="83"/>
      <c r="AS1" s="228"/>
      <c r="AT1" s="228"/>
      <c r="AU1" s="228"/>
      <c r="AV1" s="228"/>
      <c r="AW1" s="228"/>
      <c r="AX1" s="228"/>
      <c r="AY1" s="228"/>
      <c r="AZ1" s="228"/>
      <c r="BA1" s="228"/>
      <c r="BB1" s="228"/>
    </row>
    <row r="2" spans="1:54" ht="15.5" x14ac:dyDescent="0.35">
      <c r="A2" s="24">
        <v>400.1</v>
      </c>
      <c r="B2" s="24">
        <v>458.8</v>
      </c>
      <c r="C2" s="24">
        <v>418.9</v>
      </c>
      <c r="D2" s="24">
        <v>456.4</v>
      </c>
      <c r="E2" s="24">
        <v>439.5</v>
      </c>
      <c r="F2" s="25">
        <v>339.5</v>
      </c>
      <c r="G2" s="26">
        <v>334.7</v>
      </c>
      <c r="H2" s="26">
        <v>284.89999999999998</v>
      </c>
      <c r="I2" s="26">
        <v>342.5</v>
      </c>
      <c r="J2" s="26">
        <v>353.3</v>
      </c>
      <c r="K2" s="26">
        <v>349.8</v>
      </c>
      <c r="L2" s="26">
        <v>281.39999999999998</v>
      </c>
      <c r="M2" s="26">
        <v>297.8</v>
      </c>
      <c r="N2" s="26">
        <v>322.89999999999998</v>
      </c>
      <c r="O2" s="27">
        <v>387.9</v>
      </c>
      <c r="P2" s="28">
        <v>338.1</v>
      </c>
      <c r="Q2" s="29">
        <v>307.8</v>
      </c>
      <c r="R2" s="29">
        <v>343.5</v>
      </c>
      <c r="S2" s="29">
        <v>363</v>
      </c>
      <c r="T2" s="29">
        <v>373.2</v>
      </c>
      <c r="U2" s="169">
        <v>316.2</v>
      </c>
      <c r="V2" s="173">
        <v>481.9</v>
      </c>
      <c r="W2" s="169">
        <v>486.2</v>
      </c>
      <c r="X2" s="169">
        <v>509.7</v>
      </c>
      <c r="Y2" s="169">
        <v>460.7</v>
      </c>
      <c r="Z2" s="169">
        <v>494.8</v>
      </c>
      <c r="AA2" s="169">
        <v>475.2</v>
      </c>
      <c r="AB2" s="169">
        <v>428.3</v>
      </c>
      <c r="AC2" s="169">
        <v>454.4</v>
      </c>
      <c r="AD2" s="169">
        <v>422.4</v>
      </c>
      <c r="AE2" s="169">
        <v>482.4</v>
      </c>
      <c r="AF2" s="169">
        <v>488.5</v>
      </c>
      <c r="AG2" s="169">
        <v>442.1</v>
      </c>
      <c r="AH2" s="169">
        <v>431.3</v>
      </c>
      <c r="AI2" s="169">
        <v>456.1</v>
      </c>
      <c r="AJ2" s="169">
        <v>365</v>
      </c>
      <c r="AK2" s="169">
        <v>490.8</v>
      </c>
      <c r="AL2" s="169">
        <v>491.8</v>
      </c>
      <c r="AM2" s="169">
        <v>481.7</v>
      </c>
      <c r="AN2" s="169">
        <v>448</v>
      </c>
      <c r="AO2" s="30">
        <v>464.6</v>
      </c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</row>
    <row r="3" spans="1:54" ht="15.5" x14ac:dyDescent="0.35">
      <c r="A3" s="31">
        <v>197.2</v>
      </c>
      <c r="B3" s="31">
        <v>262.3</v>
      </c>
      <c r="C3" s="31">
        <v>274.5</v>
      </c>
      <c r="D3" s="31">
        <v>171.4</v>
      </c>
      <c r="E3" s="31">
        <v>207.8</v>
      </c>
      <c r="F3" s="32">
        <v>257</v>
      </c>
      <c r="G3" s="33">
        <v>285</v>
      </c>
      <c r="H3" s="33">
        <v>305</v>
      </c>
      <c r="I3" s="33">
        <v>316</v>
      </c>
      <c r="J3" s="33">
        <v>257</v>
      </c>
      <c r="K3" s="33">
        <v>299</v>
      </c>
      <c r="L3" s="33">
        <v>334</v>
      </c>
      <c r="M3" s="33">
        <v>311</v>
      </c>
      <c r="N3" s="33">
        <v>291</v>
      </c>
      <c r="O3" s="34">
        <v>229</v>
      </c>
      <c r="P3" s="35">
        <v>254</v>
      </c>
      <c r="Q3" s="93">
        <v>269</v>
      </c>
      <c r="R3" s="93">
        <v>254</v>
      </c>
      <c r="S3" s="93">
        <v>240</v>
      </c>
      <c r="T3" s="93">
        <v>255</v>
      </c>
      <c r="U3" s="129">
        <v>254</v>
      </c>
      <c r="V3" s="174">
        <v>210</v>
      </c>
      <c r="W3" s="129">
        <v>322</v>
      </c>
      <c r="X3" s="129">
        <v>250</v>
      </c>
      <c r="Y3" s="129">
        <v>217</v>
      </c>
      <c r="Z3" s="129">
        <v>229</v>
      </c>
      <c r="AA3" s="129">
        <v>217</v>
      </c>
      <c r="AB3" s="129">
        <v>225</v>
      </c>
      <c r="AC3" s="129">
        <v>247</v>
      </c>
      <c r="AD3" s="129">
        <v>234</v>
      </c>
      <c r="AE3" s="129">
        <v>272</v>
      </c>
      <c r="AF3" s="129">
        <v>266</v>
      </c>
      <c r="AG3" s="129">
        <v>327</v>
      </c>
      <c r="AH3" s="129">
        <v>356</v>
      </c>
      <c r="AI3" s="129">
        <v>358</v>
      </c>
      <c r="AJ3" s="129">
        <v>347.4</v>
      </c>
      <c r="AK3" s="129">
        <v>246</v>
      </c>
      <c r="AL3" s="129">
        <v>265</v>
      </c>
      <c r="AM3" s="129">
        <v>266</v>
      </c>
      <c r="AN3" s="129">
        <v>293</v>
      </c>
      <c r="AO3" s="36">
        <v>296</v>
      </c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</row>
    <row r="4" spans="1:54" ht="15.5" x14ac:dyDescent="0.35">
      <c r="A4" s="31">
        <v>694</v>
      </c>
      <c r="B4" s="31">
        <v>549</v>
      </c>
      <c r="C4" s="31">
        <v>602</v>
      </c>
      <c r="D4" s="31">
        <v>643</v>
      </c>
      <c r="E4" s="31">
        <v>642</v>
      </c>
      <c r="F4" s="32">
        <v>487.8</v>
      </c>
      <c r="G4" s="33">
        <v>500.4</v>
      </c>
      <c r="H4" s="33">
        <v>537</v>
      </c>
      <c r="I4" s="33">
        <v>489.1</v>
      </c>
      <c r="J4" s="33">
        <v>525.4</v>
      </c>
      <c r="K4" s="33">
        <v>456.5</v>
      </c>
      <c r="L4" s="33">
        <v>571.1</v>
      </c>
      <c r="M4" s="33">
        <v>484.4</v>
      </c>
      <c r="N4" s="33">
        <v>482.3</v>
      </c>
      <c r="O4" s="34">
        <v>526.20000000000005</v>
      </c>
      <c r="P4" s="35">
        <v>517</v>
      </c>
      <c r="Q4" s="93">
        <v>551.6</v>
      </c>
      <c r="R4" s="93">
        <v>523.5</v>
      </c>
      <c r="S4" s="93">
        <v>494.9</v>
      </c>
      <c r="T4" s="93">
        <v>494.3</v>
      </c>
      <c r="U4" s="129">
        <v>523.20000000000005</v>
      </c>
      <c r="V4" s="174">
        <v>789.5</v>
      </c>
      <c r="W4" s="129">
        <v>801.4</v>
      </c>
      <c r="X4" s="129">
        <v>835</v>
      </c>
      <c r="Y4" s="129">
        <v>975.1</v>
      </c>
      <c r="Z4" s="129">
        <v>867.9</v>
      </c>
      <c r="AA4" s="129">
        <v>842</v>
      </c>
      <c r="AB4" s="129">
        <v>969.2</v>
      </c>
      <c r="AC4" s="129">
        <v>938.1</v>
      </c>
      <c r="AD4" s="129">
        <v>1017.1</v>
      </c>
      <c r="AE4" s="129">
        <v>896.4</v>
      </c>
      <c r="AF4" s="129">
        <v>878</v>
      </c>
      <c r="AG4" s="129">
        <v>908.6</v>
      </c>
      <c r="AH4" s="129">
        <v>901.9</v>
      </c>
      <c r="AI4" s="129">
        <v>836.4</v>
      </c>
      <c r="AJ4" s="129">
        <v>960.4</v>
      </c>
      <c r="AK4" s="129">
        <v>917.8</v>
      </c>
      <c r="AL4" s="129">
        <v>901.2</v>
      </c>
      <c r="AM4" s="129">
        <v>910.1</v>
      </c>
      <c r="AN4" s="129">
        <v>913.6</v>
      </c>
      <c r="AO4" s="36">
        <v>898.9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</row>
    <row r="5" spans="1:54" ht="15.5" x14ac:dyDescent="0.35">
      <c r="A5" s="31">
        <v>448</v>
      </c>
      <c r="B5" s="31">
        <v>489</v>
      </c>
      <c r="C5" s="31">
        <v>475</v>
      </c>
      <c r="D5" s="31">
        <v>560</v>
      </c>
      <c r="E5" s="31">
        <v>493</v>
      </c>
      <c r="F5" s="32">
        <v>346.5</v>
      </c>
      <c r="G5" s="33">
        <v>254.8</v>
      </c>
      <c r="H5" s="33">
        <v>264.89999999999998</v>
      </c>
      <c r="I5" s="33">
        <v>226.7</v>
      </c>
      <c r="J5" s="33">
        <v>229.2</v>
      </c>
      <c r="K5" s="33">
        <v>250.2</v>
      </c>
      <c r="L5" s="33">
        <v>234.4</v>
      </c>
      <c r="M5" s="33">
        <v>328</v>
      </c>
      <c r="N5" s="33">
        <v>279.3</v>
      </c>
      <c r="O5" s="34">
        <v>238.1</v>
      </c>
      <c r="P5" s="35">
        <v>297.10000000000002</v>
      </c>
      <c r="Q5" s="93">
        <v>293</v>
      </c>
      <c r="R5" s="93">
        <v>283.2</v>
      </c>
      <c r="S5" s="93">
        <v>298.60000000000002</v>
      </c>
      <c r="T5" s="93">
        <v>247.6</v>
      </c>
      <c r="U5" s="129">
        <v>303.5</v>
      </c>
      <c r="V5" s="174">
        <v>435.4</v>
      </c>
      <c r="W5" s="129">
        <v>285.89999999999998</v>
      </c>
      <c r="X5" s="129">
        <v>334.5</v>
      </c>
      <c r="Y5" s="129">
        <v>305.89999999999998</v>
      </c>
      <c r="Z5" s="129">
        <v>336.7</v>
      </c>
      <c r="AA5" s="129">
        <v>311.8</v>
      </c>
      <c r="AB5" s="129">
        <v>315.89999999999998</v>
      </c>
      <c r="AC5" s="129">
        <v>306.3</v>
      </c>
      <c r="AD5" s="129">
        <v>308.89999999999998</v>
      </c>
      <c r="AE5" s="129">
        <v>290.5</v>
      </c>
      <c r="AF5" s="129">
        <v>255</v>
      </c>
      <c r="AG5" s="129">
        <v>283</v>
      </c>
      <c r="AH5" s="129">
        <v>234.6</v>
      </c>
      <c r="AI5" s="129">
        <v>301</v>
      </c>
      <c r="AJ5" s="129">
        <v>220</v>
      </c>
      <c r="AK5" s="129">
        <v>309.5</v>
      </c>
      <c r="AL5" s="129">
        <v>312.2</v>
      </c>
      <c r="AM5" s="129">
        <v>354</v>
      </c>
      <c r="AN5" s="129">
        <v>348</v>
      </c>
      <c r="AO5" s="36">
        <v>367.2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</row>
    <row r="6" spans="1:54" ht="15.5" x14ac:dyDescent="0.35">
      <c r="A6" s="31">
        <v>484.8</v>
      </c>
      <c r="B6" s="31">
        <v>518.6</v>
      </c>
      <c r="C6" s="31">
        <v>510.5</v>
      </c>
      <c r="D6" s="31">
        <v>466.2</v>
      </c>
      <c r="E6" s="31">
        <v>504.1</v>
      </c>
      <c r="F6" s="32">
        <v>288.39999999999998</v>
      </c>
      <c r="G6" s="33">
        <v>324.7</v>
      </c>
      <c r="H6" s="33">
        <v>307.60000000000002</v>
      </c>
      <c r="I6" s="33">
        <v>348</v>
      </c>
      <c r="J6" s="33">
        <v>343.4</v>
      </c>
      <c r="K6" s="33">
        <v>363.4</v>
      </c>
      <c r="L6" s="33">
        <v>292</v>
      </c>
      <c r="M6" s="33">
        <v>299.10000000000002</v>
      </c>
      <c r="N6" s="33">
        <v>347.7</v>
      </c>
      <c r="O6" s="34">
        <v>344.4</v>
      </c>
      <c r="P6" s="35">
        <v>319.5</v>
      </c>
      <c r="Q6" s="93">
        <v>316.60000000000002</v>
      </c>
      <c r="R6" s="93">
        <v>319.7</v>
      </c>
      <c r="S6" s="93">
        <v>317.10000000000002</v>
      </c>
      <c r="T6" s="93">
        <v>349.6</v>
      </c>
      <c r="U6" s="129">
        <v>331.7</v>
      </c>
      <c r="V6" s="174">
        <v>416.5</v>
      </c>
      <c r="W6" s="129">
        <v>468</v>
      </c>
      <c r="X6" s="129">
        <v>396</v>
      </c>
      <c r="Y6" s="129">
        <v>374.2</v>
      </c>
      <c r="Z6" s="129">
        <v>420.4</v>
      </c>
      <c r="AA6" s="129">
        <v>488.2</v>
      </c>
      <c r="AB6" s="129">
        <v>408</v>
      </c>
      <c r="AC6" s="129">
        <v>401.1</v>
      </c>
      <c r="AD6" s="129">
        <v>380.6</v>
      </c>
      <c r="AE6" s="129">
        <v>424.6</v>
      </c>
      <c r="AF6" s="129">
        <v>470.3</v>
      </c>
      <c r="AG6" s="129">
        <v>381.7</v>
      </c>
      <c r="AH6" s="129">
        <v>434</v>
      </c>
      <c r="AI6" s="129">
        <v>407.4</v>
      </c>
      <c r="AJ6" s="129">
        <v>481.8</v>
      </c>
      <c r="AK6" s="129">
        <v>407.9</v>
      </c>
      <c r="AL6" s="129">
        <v>398.2</v>
      </c>
      <c r="AM6" s="129">
        <v>360.2</v>
      </c>
      <c r="AN6" s="129">
        <v>364.4</v>
      </c>
      <c r="AO6" s="36">
        <v>324.60000000000002</v>
      </c>
      <c r="AP6" s="95"/>
      <c r="AQ6" s="19"/>
      <c r="AR6" s="19" t="s">
        <v>53</v>
      </c>
      <c r="AS6" s="19" t="s">
        <v>218</v>
      </c>
      <c r="AT6" s="19" t="s">
        <v>54</v>
      </c>
      <c r="AU6" s="95"/>
      <c r="AV6" s="95"/>
      <c r="AW6" s="95"/>
      <c r="AX6" s="95"/>
      <c r="AY6" s="95"/>
      <c r="AZ6" s="95"/>
      <c r="BA6" s="95"/>
      <c r="BB6" s="95"/>
    </row>
    <row r="7" spans="1:54" ht="15.5" x14ac:dyDescent="0.35">
      <c r="A7" s="37">
        <v>2224.1</v>
      </c>
      <c r="B7" s="37">
        <v>2277.6999999999998</v>
      </c>
      <c r="C7" s="37">
        <v>2280.9</v>
      </c>
      <c r="D7" s="37">
        <v>2297</v>
      </c>
      <c r="E7" s="37">
        <v>2286.4</v>
      </c>
      <c r="F7" s="38">
        <v>1719.1999999999998</v>
      </c>
      <c r="G7" s="39">
        <v>1699.6</v>
      </c>
      <c r="H7" s="39">
        <v>1699.4</v>
      </c>
      <c r="I7" s="39">
        <v>1722.3</v>
      </c>
      <c r="J7" s="39">
        <v>1708.2999999999997</v>
      </c>
      <c r="K7" s="39">
        <v>1718.9</v>
      </c>
      <c r="L7" s="39">
        <v>1712.9</v>
      </c>
      <c r="M7" s="39">
        <v>1720.2999999999997</v>
      </c>
      <c r="N7" s="39">
        <v>1723.2</v>
      </c>
      <c r="O7" s="40">
        <v>1725.6</v>
      </c>
      <c r="P7" s="41">
        <v>1725.6999999999998</v>
      </c>
      <c r="Q7" s="42">
        <v>1738</v>
      </c>
      <c r="R7" s="42">
        <v>1723.9</v>
      </c>
      <c r="S7" s="42">
        <v>1713.6</v>
      </c>
      <c r="T7" s="42">
        <v>1719.6999999999998</v>
      </c>
      <c r="U7" s="3">
        <v>1728.6000000000001</v>
      </c>
      <c r="V7" s="175">
        <v>2333.3000000000002</v>
      </c>
      <c r="W7" s="3">
        <v>2363.5</v>
      </c>
      <c r="X7" s="3">
        <v>2325.1999999999998</v>
      </c>
      <c r="Y7" s="3">
        <v>2332.9</v>
      </c>
      <c r="Z7" s="3">
        <v>2348.7999999999997</v>
      </c>
      <c r="AA7" s="3">
        <v>2334.1999999999998</v>
      </c>
      <c r="AB7" s="3">
        <v>2346.4</v>
      </c>
      <c r="AC7" s="3">
        <v>2346.9</v>
      </c>
      <c r="AD7" s="3">
        <v>2363</v>
      </c>
      <c r="AE7" s="3">
        <v>2365.9</v>
      </c>
      <c r="AF7" s="3">
        <v>2357.8000000000002</v>
      </c>
      <c r="AG7" s="3">
        <v>2342.4</v>
      </c>
      <c r="AH7" s="3">
        <v>2357.7999999999997</v>
      </c>
      <c r="AI7" s="3">
        <v>2358.9</v>
      </c>
      <c r="AJ7" s="3">
        <v>2374.6</v>
      </c>
      <c r="AK7" s="3">
        <v>2372</v>
      </c>
      <c r="AL7" s="3">
        <v>2368.4</v>
      </c>
      <c r="AM7" s="3">
        <v>2372</v>
      </c>
      <c r="AN7" s="3">
        <v>2367</v>
      </c>
      <c r="AO7" s="43">
        <v>2351.3000000000002</v>
      </c>
      <c r="AP7" s="96"/>
      <c r="AQ7" s="19" t="s">
        <v>55</v>
      </c>
      <c r="AR7" s="76">
        <f>AVERAGE(F14:U14)</f>
        <v>11330.212500000001</v>
      </c>
      <c r="AS7" s="76">
        <f>AVERAGE(V14:AO14)</f>
        <v>11504.48</v>
      </c>
      <c r="AT7" s="18">
        <f>ABS((AR7-AS7)/AR7)</f>
        <v>1.5380779486704074E-2</v>
      </c>
      <c r="AU7" s="96"/>
      <c r="AV7" s="96"/>
      <c r="AW7" s="96"/>
      <c r="AX7" s="96"/>
      <c r="AY7" s="96"/>
      <c r="AZ7" s="96"/>
      <c r="BA7" s="96"/>
      <c r="BB7" s="96"/>
    </row>
    <row r="8" spans="1:54" ht="15.5" x14ac:dyDescent="0.35">
      <c r="A8" s="31">
        <v>1944.8</v>
      </c>
      <c r="B8" s="31">
        <v>1837.3</v>
      </c>
      <c r="C8" s="31">
        <v>1858.1</v>
      </c>
      <c r="D8" s="31">
        <v>1860.2</v>
      </c>
      <c r="E8" s="31">
        <v>1841.6</v>
      </c>
      <c r="F8" s="32">
        <v>1943.4</v>
      </c>
      <c r="G8" s="33">
        <v>1904.1</v>
      </c>
      <c r="H8" s="33">
        <v>1904.5</v>
      </c>
      <c r="I8" s="33">
        <v>1842.2</v>
      </c>
      <c r="J8" s="33">
        <v>1854.8</v>
      </c>
      <c r="K8" s="33">
        <v>1839.1</v>
      </c>
      <c r="L8" s="33">
        <v>1900</v>
      </c>
      <c r="M8" s="33">
        <v>1910.3</v>
      </c>
      <c r="N8" s="33">
        <v>1898.5</v>
      </c>
      <c r="O8" s="34">
        <v>1839.5</v>
      </c>
      <c r="P8" s="35">
        <v>1896.5</v>
      </c>
      <c r="Q8" s="93">
        <v>1899.4</v>
      </c>
      <c r="R8" s="93">
        <v>1885.8</v>
      </c>
      <c r="S8" s="93">
        <v>1812.8</v>
      </c>
      <c r="T8" s="93">
        <v>1806.9</v>
      </c>
      <c r="U8" s="129">
        <v>1893.4</v>
      </c>
      <c r="V8" s="174">
        <v>1745</v>
      </c>
      <c r="W8" s="129">
        <v>1767.9</v>
      </c>
      <c r="X8" s="129">
        <v>1746.9</v>
      </c>
      <c r="Y8" s="129">
        <v>1853.2</v>
      </c>
      <c r="Z8" s="129">
        <v>1774.8</v>
      </c>
      <c r="AA8" s="129">
        <v>1837.5</v>
      </c>
      <c r="AB8" s="129">
        <v>1839.4</v>
      </c>
      <c r="AC8" s="129">
        <v>1825.1</v>
      </c>
      <c r="AD8" s="129">
        <v>1775.4</v>
      </c>
      <c r="AE8" s="129">
        <v>1722.6</v>
      </c>
      <c r="AF8" s="129">
        <v>1698.2</v>
      </c>
      <c r="AG8" s="129">
        <v>1891.8</v>
      </c>
      <c r="AH8" s="129">
        <v>1785.5</v>
      </c>
      <c r="AI8" s="129">
        <v>1843.9</v>
      </c>
      <c r="AJ8" s="129">
        <v>1850.3</v>
      </c>
      <c r="AK8" s="129">
        <v>1864.8</v>
      </c>
      <c r="AL8" s="129">
        <v>1812.7</v>
      </c>
      <c r="AM8" s="129">
        <v>1787.8</v>
      </c>
      <c r="AN8" s="129">
        <v>1767.9</v>
      </c>
      <c r="AO8" s="36">
        <v>1780.7</v>
      </c>
      <c r="AP8" s="19"/>
      <c r="AQ8" s="19" t="s">
        <v>56</v>
      </c>
      <c r="AR8" s="77">
        <f>AVERAGE(F15:U15)</f>
        <v>0.37544358875198619</v>
      </c>
      <c r="AS8" s="77">
        <f>AVERAGE(V15:AO15)</f>
        <v>0.32674415658249539</v>
      </c>
      <c r="AT8" s="18">
        <f t="shared" ref="AT8:AT14" si="0">ABS((AR8-AS8)/AR8)</f>
        <v>0.12971171603002413</v>
      </c>
      <c r="AU8" s="19"/>
      <c r="AV8" s="19"/>
      <c r="AW8" s="19"/>
      <c r="AX8" s="19"/>
      <c r="AY8" s="19"/>
      <c r="AZ8" s="19"/>
      <c r="BA8" s="19"/>
      <c r="BB8" s="19"/>
    </row>
    <row r="9" spans="1:54" ht="15.5" x14ac:dyDescent="0.35">
      <c r="A9" s="31">
        <v>1463.6</v>
      </c>
      <c r="B9" s="31">
        <v>1318.8</v>
      </c>
      <c r="C9" s="31">
        <v>1449.7</v>
      </c>
      <c r="D9" s="31">
        <v>1265.2</v>
      </c>
      <c r="E9" s="31">
        <v>1367.1</v>
      </c>
      <c r="F9" s="32">
        <v>1429</v>
      </c>
      <c r="G9" s="33">
        <v>1515</v>
      </c>
      <c r="H9" s="33">
        <v>1587</v>
      </c>
      <c r="I9" s="33">
        <v>1541</v>
      </c>
      <c r="J9" s="33">
        <v>1580</v>
      </c>
      <c r="K9" s="33">
        <v>1586</v>
      </c>
      <c r="L9" s="33">
        <v>1540</v>
      </c>
      <c r="M9" s="33">
        <v>1540</v>
      </c>
      <c r="N9" s="33">
        <v>1535</v>
      </c>
      <c r="O9" s="34">
        <v>1559</v>
      </c>
      <c r="P9" s="35">
        <v>1528</v>
      </c>
      <c r="Q9" s="93">
        <v>1564</v>
      </c>
      <c r="R9" s="93">
        <v>1563</v>
      </c>
      <c r="S9" s="93">
        <v>1647</v>
      </c>
      <c r="T9" s="93">
        <v>1639</v>
      </c>
      <c r="U9" s="129">
        <v>1576</v>
      </c>
      <c r="V9" s="174">
        <v>1484</v>
      </c>
      <c r="W9" s="129">
        <v>1382</v>
      </c>
      <c r="X9" s="129">
        <v>1359</v>
      </c>
      <c r="Y9" s="129">
        <v>1324</v>
      </c>
      <c r="Z9" s="129">
        <v>1403</v>
      </c>
      <c r="AA9" s="129">
        <v>1348</v>
      </c>
      <c r="AB9" s="129">
        <v>1414</v>
      </c>
      <c r="AC9" s="129">
        <v>1331</v>
      </c>
      <c r="AD9" s="129">
        <v>1450</v>
      </c>
      <c r="AE9" s="129">
        <v>1381</v>
      </c>
      <c r="AF9" s="129">
        <v>1415</v>
      </c>
      <c r="AG9" s="129">
        <v>1203</v>
      </c>
      <c r="AH9" s="129">
        <v>1316</v>
      </c>
      <c r="AI9" s="129">
        <v>1217</v>
      </c>
      <c r="AJ9" s="129">
        <v>1299</v>
      </c>
      <c r="AK9" s="129">
        <v>1274</v>
      </c>
      <c r="AL9" s="129">
        <v>1298</v>
      </c>
      <c r="AM9" s="129">
        <v>1290</v>
      </c>
      <c r="AN9" s="129">
        <v>1406</v>
      </c>
      <c r="AO9" s="36">
        <v>1348</v>
      </c>
      <c r="AP9" s="19"/>
      <c r="AQ9" s="19" t="s">
        <v>57</v>
      </c>
      <c r="AR9" s="75">
        <f>AVERAGE(F26:U26)</f>
        <v>-2.1361599712516815E-2</v>
      </c>
      <c r="AS9" s="75">
        <f>AVERAGE(V26:AO26)</f>
        <v>6.4949421345105538E-3</v>
      </c>
      <c r="AT9" s="18">
        <f t="shared" si="0"/>
        <v>1.3040475536438803</v>
      </c>
      <c r="AU9" s="19"/>
      <c r="AV9" s="19"/>
      <c r="AW9" s="19"/>
      <c r="AX9" s="19"/>
      <c r="AY9" s="19"/>
      <c r="AZ9" s="19"/>
      <c r="BA9" s="19"/>
      <c r="BB9" s="19"/>
    </row>
    <row r="10" spans="1:54" ht="15.5" x14ac:dyDescent="0.35">
      <c r="A10" s="31">
        <v>2500.1</v>
      </c>
      <c r="B10" s="31">
        <v>2847.4</v>
      </c>
      <c r="C10" s="31">
        <v>2711.3</v>
      </c>
      <c r="D10" s="31">
        <v>2914.5</v>
      </c>
      <c r="E10" s="31">
        <v>2753.5</v>
      </c>
      <c r="F10" s="32">
        <v>2757.5</v>
      </c>
      <c r="G10" s="33">
        <v>2715.3</v>
      </c>
      <c r="H10" s="33">
        <v>2688.6</v>
      </c>
      <c r="I10" s="33">
        <v>2782.3</v>
      </c>
      <c r="J10" s="33">
        <v>2749</v>
      </c>
      <c r="K10" s="33">
        <v>2791</v>
      </c>
      <c r="L10" s="33">
        <v>2688.4</v>
      </c>
      <c r="M10" s="33">
        <v>2742.8</v>
      </c>
      <c r="N10" s="33">
        <v>2793.2</v>
      </c>
      <c r="O10" s="34">
        <v>2775.5</v>
      </c>
      <c r="P10" s="35">
        <v>2722.2</v>
      </c>
      <c r="Q10" s="93">
        <v>2718.1</v>
      </c>
      <c r="R10" s="93">
        <v>2728.8</v>
      </c>
      <c r="S10" s="93">
        <v>2734.6</v>
      </c>
      <c r="T10" s="93">
        <v>2745.7</v>
      </c>
      <c r="U10" s="129">
        <v>2724.7</v>
      </c>
      <c r="V10" s="174">
        <v>2840.7</v>
      </c>
      <c r="W10" s="129">
        <v>2867</v>
      </c>
      <c r="X10" s="129">
        <v>2819.2</v>
      </c>
      <c r="Y10" s="129">
        <v>2714.1</v>
      </c>
      <c r="Z10" s="129">
        <v>2725.4</v>
      </c>
      <c r="AA10" s="129">
        <v>2767.1</v>
      </c>
      <c r="AB10" s="129">
        <v>2669.4</v>
      </c>
      <c r="AC10" s="129">
        <v>2725.4</v>
      </c>
      <c r="AD10" s="129">
        <v>2633.3</v>
      </c>
      <c r="AE10" s="129">
        <v>2816</v>
      </c>
      <c r="AF10" s="129">
        <v>2882.1</v>
      </c>
      <c r="AG10" s="129">
        <v>2703.3</v>
      </c>
      <c r="AH10" s="129">
        <v>2795</v>
      </c>
      <c r="AI10" s="129">
        <v>2821.1</v>
      </c>
      <c r="AJ10" s="129">
        <v>2717.1</v>
      </c>
      <c r="AK10" s="129">
        <v>2749</v>
      </c>
      <c r="AL10" s="129">
        <v>2781.5</v>
      </c>
      <c r="AM10" s="129">
        <v>2788.8</v>
      </c>
      <c r="AN10" s="129">
        <v>2707</v>
      </c>
      <c r="AO10" s="36">
        <v>2752</v>
      </c>
      <c r="AP10" s="19"/>
      <c r="AQ10" s="19" t="s">
        <v>58</v>
      </c>
      <c r="AR10" s="17">
        <f>AVERAGE(F16:U16)</f>
        <v>2210.4812499999998</v>
      </c>
      <c r="AS10" s="17">
        <f>AVERAGE(V16:AO16)</f>
        <v>2261.3650000000002</v>
      </c>
      <c r="AT10" s="18">
        <f t="shared" si="0"/>
        <v>2.3019308578166146E-2</v>
      </c>
      <c r="AU10" s="19"/>
      <c r="AV10" s="19"/>
      <c r="AW10" s="19"/>
      <c r="AX10" s="19"/>
      <c r="AY10" s="19"/>
      <c r="AZ10" s="19"/>
      <c r="BA10" s="19"/>
      <c r="BB10" s="19"/>
    </row>
    <row r="11" spans="1:54" ht="15.5" x14ac:dyDescent="0.35">
      <c r="A11" s="31">
        <v>1378.1</v>
      </c>
      <c r="B11" s="31">
        <v>1369.8</v>
      </c>
      <c r="C11" s="31">
        <v>1180.4000000000001</v>
      </c>
      <c r="D11" s="31">
        <v>1303.8</v>
      </c>
      <c r="E11" s="31">
        <v>1419.5</v>
      </c>
      <c r="F11" s="32">
        <v>1681.5</v>
      </c>
      <c r="G11" s="33">
        <v>1661.8</v>
      </c>
      <c r="H11" s="33">
        <v>1556.4</v>
      </c>
      <c r="I11" s="33">
        <v>1629.2</v>
      </c>
      <c r="J11" s="33">
        <v>1595.5</v>
      </c>
      <c r="K11" s="33">
        <v>1552.8</v>
      </c>
      <c r="L11" s="33">
        <v>1611.4</v>
      </c>
      <c r="M11" s="33">
        <v>1541.9</v>
      </c>
      <c r="N11" s="33">
        <v>1519.1</v>
      </c>
      <c r="O11" s="34">
        <v>1604.7</v>
      </c>
      <c r="P11" s="35">
        <v>1649.9</v>
      </c>
      <c r="Q11" s="93">
        <v>1546.1</v>
      </c>
      <c r="R11" s="93">
        <v>1546.1</v>
      </c>
      <c r="S11" s="93">
        <v>1581.7</v>
      </c>
      <c r="T11" s="93">
        <v>1578.1</v>
      </c>
      <c r="U11" s="129">
        <v>1577.4</v>
      </c>
      <c r="V11" s="174">
        <v>1309.2</v>
      </c>
      <c r="W11" s="129">
        <v>1242.7</v>
      </c>
      <c r="X11" s="129">
        <v>1514.8</v>
      </c>
      <c r="Y11" s="129">
        <v>1441.5</v>
      </c>
      <c r="Z11" s="129">
        <v>1512.9</v>
      </c>
      <c r="AA11" s="129">
        <v>1525.2</v>
      </c>
      <c r="AB11" s="129">
        <v>1429.7</v>
      </c>
      <c r="AC11" s="129">
        <v>1517</v>
      </c>
      <c r="AD11" s="129">
        <v>1540.3</v>
      </c>
      <c r="AE11" s="129">
        <v>1512.5</v>
      </c>
      <c r="AF11" s="129">
        <v>1437</v>
      </c>
      <c r="AG11" s="129">
        <v>1566.5</v>
      </c>
      <c r="AH11" s="129">
        <v>1493.8</v>
      </c>
      <c r="AI11" s="129">
        <v>1469</v>
      </c>
      <c r="AJ11" s="129">
        <v>1419.1</v>
      </c>
      <c r="AK11" s="129">
        <v>1380</v>
      </c>
      <c r="AL11" s="129">
        <v>1423.4</v>
      </c>
      <c r="AM11" s="129">
        <v>1511.2</v>
      </c>
      <c r="AN11" s="129">
        <v>1459.7</v>
      </c>
      <c r="AO11" s="36">
        <v>1426.9</v>
      </c>
      <c r="AP11" s="19"/>
      <c r="AQ11" s="19" t="s">
        <v>59</v>
      </c>
      <c r="AR11" s="17">
        <f>AVERAGE(F17:U17)</f>
        <v>1833.6875</v>
      </c>
      <c r="AS11" s="17">
        <f>AVERAGE(V17:AO17)</f>
        <v>1619.27</v>
      </c>
      <c r="AT11" s="18">
        <f t="shared" si="0"/>
        <v>0.11693241078428032</v>
      </c>
      <c r="AU11" s="19"/>
      <c r="AV11" s="19"/>
      <c r="AW11" s="19"/>
      <c r="AX11" s="19"/>
      <c r="AY11" s="19"/>
      <c r="AZ11" s="19"/>
      <c r="BA11" s="19"/>
      <c r="BB11" s="19"/>
    </row>
    <row r="12" spans="1:54" ht="15.5" x14ac:dyDescent="0.35">
      <c r="A12" s="31">
        <v>1769.5</v>
      </c>
      <c r="B12" s="31">
        <v>1633.2</v>
      </c>
      <c r="C12" s="31">
        <v>1795.1</v>
      </c>
      <c r="D12" s="31">
        <v>1636.4</v>
      </c>
      <c r="E12" s="31">
        <v>1606.8</v>
      </c>
      <c r="F12" s="32">
        <v>1800.7</v>
      </c>
      <c r="G12" s="33">
        <v>1832.6</v>
      </c>
      <c r="H12" s="33">
        <v>1890.7</v>
      </c>
      <c r="I12" s="33">
        <v>1814.4</v>
      </c>
      <c r="J12" s="33">
        <v>1845.9</v>
      </c>
      <c r="K12" s="33">
        <v>1841.5</v>
      </c>
      <c r="L12" s="33">
        <v>1880</v>
      </c>
      <c r="M12" s="33">
        <v>1876.5</v>
      </c>
      <c r="N12" s="33">
        <v>1862.3</v>
      </c>
      <c r="O12" s="34">
        <v>1829.3</v>
      </c>
      <c r="P12" s="35">
        <v>1808.6</v>
      </c>
      <c r="Q12" s="93">
        <v>1862.9</v>
      </c>
      <c r="R12" s="93">
        <v>1881.7</v>
      </c>
      <c r="S12" s="93">
        <v>1837.5</v>
      </c>
      <c r="T12" s="93">
        <v>1840.2</v>
      </c>
      <c r="U12" s="129">
        <v>1827.9</v>
      </c>
      <c r="V12" s="174">
        <v>1789.1</v>
      </c>
      <c r="W12" s="129">
        <v>1887.6</v>
      </c>
      <c r="X12" s="129">
        <v>1738.7</v>
      </c>
      <c r="Y12" s="129">
        <v>1836.8</v>
      </c>
      <c r="Z12" s="129">
        <v>1742.3</v>
      </c>
      <c r="AA12" s="129">
        <v>1690.8</v>
      </c>
      <c r="AB12" s="129">
        <v>1809.6</v>
      </c>
      <c r="AC12" s="129">
        <v>1764.1</v>
      </c>
      <c r="AD12" s="129">
        <v>1738.2</v>
      </c>
      <c r="AE12" s="129">
        <v>1707.2</v>
      </c>
      <c r="AF12" s="129">
        <v>1713.2</v>
      </c>
      <c r="AG12" s="129">
        <v>1795.6</v>
      </c>
      <c r="AH12" s="129">
        <v>1756.4</v>
      </c>
      <c r="AI12" s="129">
        <v>1795.4</v>
      </c>
      <c r="AJ12" s="129">
        <v>1844.2</v>
      </c>
      <c r="AK12" s="129">
        <v>1864.2</v>
      </c>
      <c r="AL12" s="129">
        <v>1820.2</v>
      </c>
      <c r="AM12" s="129">
        <v>1754.1</v>
      </c>
      <c r="AN12" s="129">
        <v>1794.9</v>
      </c>
      <c r="AO12" s="36">
        <v>1844.4</v>
      </c>
      <c r="AP12" s="19"/>
      <c r="AQ12" s="19" t="s">
        <v>60</v>
      </c>
      <c r="AR12" s="17">
        <f>AVERAGE(F18:U18)</f>
        <v>3251.4</v>
      </c>
      <c r="AS12" s="17">
        <f>AVERAGE(V18:AO18)</f>
        <v>3661.6550000000002</v>
      </c>
      <c r="AT12" s="18">
        <f t="shared" si="0"/>
        <v>0.12617795411207483</v>
      </c>
      <c r="AU12" s="19"/>
      <c r="AV12" s="19"/>
      <c r="AW12" s="19"/>
      <c r="AX12" s="19"/>
      <c r="AY12" s="19"/>
      <c r="AZ12" s="19"/>
      <c r="BA12" s="19"/>
      <c r="BB12" s="19"/>
    </row>
    <row r="13" spans="1:54" ht="15.5" x14ac:dyDescent="0.35">
      <c r="A13" s="37">
        <v>9056.1</v>
      </c>
      <c r="B13" s="37">
        <v>9006.5</v>
      </c>
      <c r="C13" s="37">
        <v>8994.6</v>
      </c>
      <c r="D13" s="37">
        <v>8980.1</v>
      </c>
      <c r="E13" s="37">
        <v>8988.5</v>
      </c>
      <c r="F13" s="38">
        <v>9612.1</v>
      </c>
      <c r="G13" s="39">
        <v>9628.7999999999993</v>
      </c>
      <c r="H13" s="39">
        <v>9627.2000000000007</v>
      </c>
      <c r="I13" s="39">
        <v>9609.1</v>
      </c>
      <c r="J13" s="39">
        <v>9625.2000000000007</v>
      </c>
      <c r="K13" s="39">
        <v>9610.4000000000015</v>
      </c>
      <c r="L13" s="39">
        <v>9619.7999999999993</v>
      </c>
      <c r="M13" s="39">
        <v>9611.5</v>
      </c>
      <c r="N13" s="39">
        <v>9608.0999999999985</v>
      </c>
      <c r="O13" s="40">
        <v>9608</v>
      </c>
      <c r="P13" s="41">
        <v>9605.2000000000007</v>
      </c>
      <c r="Q13" s="42">
        <v>9590.5</v>
      </c>
      <c r="R13" s="42">
        <v>9605.4000000000015</v>
      </c>
      <c r="S13" s="42">
        <v>9613.5999999999985</v>
      </c>
      <c r="T13" s="42">
        <v>9609.9000000000015</v>
      </c>
      <c r="U13" s="3">
        <v>9599.4</v>
      </c>
      <c r="V13" s="175">
        <v>9168</v>
      </c>
      <c r="W13" s="3">
        <v>9147.1999999999989</v>
      </c>
      <c r="X13" s="3">
        <v>9178.6</v>
      </c>
      <c r="Y13" s="3">
        <v>9169.5999999999985</v>
      </c>
      <c r="Z13" s="3">
        <v>9158.4</v>
      </c>
      <c r="AA13" s="3">
        <v>9168.6</v>
      </c>
      <c r="AB13" s="3">
        <v>9162.1</v>
      </c>
      <c r="AC13" s="3">
        <v>9162.6</v>
      </c>
      <c r="AD13" s="3">
        <v>9137.2000000000007</v>
      </c>
      <c r="AE13" s="3">
        <v>9139.3000000000011</v>
      </c>
      <c r="AF13" s="3">
        <v>9145.5</v>
      </c>
      <c r="AG13" s="3">
        <v>9160.2000000000007</v>
      </c>
      <c r="AH13" s="3">
        <v>9146.7000000000007</v>
      </c>
      <c r="AI13" s="3">
        <v>9146.4</v>
      </c>
      <c r="AJ13" s="3">
        <v>9129.7000000000007</v>
      </c>
      <c r="AK13" s="3">
        <v>9132</v>
      </c>
      <c r="AL13" s="3">
        <v>9135.8000000000011</v>
      </c>
      <c r="AM13" s="3">
        <v>9131.9</v>
      </c>
      <c r="AN13" s="3">
        <v>9135.5</v>
      </c>
      <c r="AO13" s="43">
        <v>9152</v>
      </c>
      <c r="AP13" s="96"/>
      <c r="AQ13" s="19" t="s">
        <v>61</v>
      </c>
      <c r="AR13" s="17">
        <f>AVERAGE(F19:U19)</f>
        <v>1863.0437499999998</v>
      </c>
      <c r="AS13" s="17">
        <f>AVERAGE(V19:AO19)</f>
        <v>1767.4349999999999</v>
      </c>
      <c r="AT13" s="18">
        <f t="shared" si="0"/>
        <v>5.1318574778504197E-2</v>
      </c>
      <c r="AU13" s="96"/>
      <c r="AV13" s="96"/>
      <c r="AW13" s="96"/>
      <c r="AX13" s="96"/>
      <c r="AY13" s="96"/>
      <c r="AZ13" s="96"/>
      <c r="BA13" s="96"/>
      <c r="BB13" s="96"/>
    </row>
    <row r="14" spans="1:54" ht="15.5" x14ac:dyDescent="0.35">
      <c r="A14" s="44">
        <v>11280.2</v>
      </c>
      <c r="B14" s="44">
        <v>11284.2</v>
      </c>
      <c r="C14" s="44">
        <v>11275.5</v>
      </c>
      <c r="D14" s="44">
        <v>11277.1</v>
      </c>
      <c r="E14" s="44">
        <v>11274.9</v>
      </c>
      <c r="F14" s="45">
        <v>11331.3</v>
      </c>
      <c r="G14" s="46">
        <v>11328.4</v>
      </c>
      <c r="H14" s="46">
        <v>11326.6</v>
      </c>
      <c r="I14" s="46">
        <v>11331.4</v>
      </c>
      <c r="J14" s="46">
        <v>11333.5</v>
      </c>
      <c r="K14" s="46">
        <v>11329.300000000001</v>
      </c>
      <c r="L14" s="46">
        <v>11332.699999999999</v>
      </c>
      <c r="M14" s="46">
        <v>11331.8</v>
      </c>
      <c r="N14" s="46">
        <v>11331.3</v>
      </c>
      <c r="O14" s="47">
        <v>11333.6</v>
      </c>
      <c r="P14" s="48">
        <v>11330.900000000001</v>
      </c>
      <c r="Q14" s="49">
        <v>11328.5</v>
      </c>
      <c r="R14" s="49">
        <v>11329.300000000001</v>
      </c>
      <c r="S14" s="49">
        <v>11327.199999999999</v>
      </c>
      <c r="T14" s="49">
        <v>11329.600000000002</v>
      </c>
      <c r="U14" s="170">
        <v>11328</v>
      </c>
      <c r="V14" s="176">
        <v>11501.3</v>
      </c>
      <c r="W14" s="170">
        <v>11510.699999999999</v>
      </c>
      <c r="X14" s="170">
        <v>11503.8</v>
      </c>
      <c r="Y14" s="170">
        <v>11502.499999999998</v>
      </c>
      <c r="Z14" s="170">
        <v>11507.199999999999</v>
      </c>
      <c r="AA14" s="170">
        <v>11502.8</v>
      </c>
      <c r="AB14" s="170">
        <v>11508.5</v>
      </c>
      <c r="AC14" s="170">
        <v>11509.5</v>
      </c>
      <c r="AD14" s="170">
        <v>11500.2</v>
      </c>
      <c r="AE14" s="170">
        <v>11505.2</v>
      </c>
      <c r="AF14" s="170">
        <v>11503.3</v>
      </c>
      <c r="AG14" s="170">
        <v>11502.6</v>
      </c>
      <c r="AH14" s="170">
        <v>11504.5</v>
      </c>
      <c r="AI14" s="170">
        <v>11505.3</v>
      </c>
      <c r="AJ14" s="170">
        <v>11504.300000000001</v>
      </c>
      <c r="AK14" s="170">
        <v>11504</v>
      </c>
      <c r="AL14" s="170">
        <v>11504.2</v>
      </c>
      <c r="AM14" s="170">
        <v>11503.9</v>
      </c>
      <c r="AN14" s="170">
        <v>11502.5</v>
      </c>
      <c r="AO14" s="50">
        <v>11503.3</v>
      </c>
      <c r="AP14" s="97"/>
      <c r="AQ14" s="19" t="s">
        <v>62</v>
      </c>
      <c r="AR14" s="17">
        <f>AVERAGE(F20:U20)</f>
        <v>2171.6</v>
      </c>
      <c r="AS14" s="17">
        <f>AVERAGE(V20:AO20)</f>
        <v>2194.7550000000001</v>
      </c>
      <c r="AT14" s="18">
        <f t="shared" si="0"/>
        <v>1.0662645054337908E-2</v>
      </c>
      <c r="AU14" s="97"/>
      <c r="AV14" s="97"/>
      <c r="AW14" s="97"/>
      <c r="AX14" s="97"/>
      <c r="AY14" s="97"/>
      <c r="AZ14" s="97"/>
      <c r="BA14" s="97"/>
      <c r="BB14" s="97"/>
    </row>
    <row r="15" spans="1:54" ht="20.5" x14ac:dyDescent="0.35">
      <c r="A15" s="51">
        <v>0.33360498927323973</v>
      </c>
      <c r="B15" s="51">
        <v>0.32929928572694556</v>
      </c>
      <c r="C15" s="51">
        <v>0.3288949048822668</v>
      </c>
      <c r="D15" s="51">
        <v>0.32760785130929049</v>
      </c>
      <c r="E15" s="51">
        <v>0.32843621672919499</v>
      </c>
      <c r="F15" s="52">
        <v>0.37541636881911167</v>
      </c>
      <c r="G15" s="53">
        <v>0.37697238798065041</v>
      </c>
      <c r="H15" s="53">
        <v>0.37696669786167075</v>
      </c>
      <c r="I15" s="53">
        <v>0.3751659106553471</v>
      </c>
      <c r="J15" s="53">
        <v>0.37632827458419726</v>
      </c>
      <c r="K15" s="53">
        <v>0.37541608925529379</v>
      </c>
      <c r="L15" s="53">
        <v>0.37594505281177482</v>
      </c>
      <c r="M15" s="53">
        <v>0.37533322155350424</v>
      </c>
      <c r="N15" s="53">
        <v>0.37509160467024955</v>
      </c>
      <c r="O15" s="54">
        <v>0.37492517823110039</v>
      </c>
      <c r="P15" s="55">
        <v>0.37488368090795954</v>
      </c>
      <c r="Q15" s="56">
        <v>0.37385509996910438</v>
      </c>
      <c r="R15" s="56">
        <v>0.37501006240456169</v>
      </c>
      <c r="S15" s="56">
        <v>0.37582067942651315</v>
      </c>
      <c r="T15" s="56">
        <v>0.37535482276514609</v>
      </c>
      <c r="U15" s="171">
        <v>0.37461228813559322</v>
      </c>
      <c r="V15" s="182">
        <v>0.32835709876274854</v>
      </c>
      <c r="W15" s="183">
        <v>0.32609576307261945</v>
      </c>
      <c r="X15" s="183">
        <v>0.32904544585267476</v>
      </c>
      <c r="Y15" s="183">
        <v>0.32840856335579216</v>
      </c>
      <c r="Z15" s="183">
        <v>0.32721357063403778</v>
      </c>
      <c r="AA15" s="183">
        <v>0.32830945508919573</v>
      </c>
      <c r="AB15" s="183">
        <v>0.32742664117825948</v>
      </c>
      <c r="AC15" s="183">
        <v>0.3274029714583605</v>
      </c>
      <c r="AD15" s="183">
        <v>0.32596328759499837</v>
      </c>
      <c r="AE15" s="183">
        <v>0.32581354517957095</v>
      </c>
      <c r="AF15" s="183">
        <v>0.32643011135934907</v>
      </c>
      <c r="AG15" s="183">
        <v>0.32765035731052106</v>
      </c>
      <c r="AH15" s="183">
        <v>0.32644978052066581</v>
      </c>
      <c r="AI15" s="183">
        <v>0.32637493155328412</v>
      </c>
      <c r="AJ15" s="183">
        <v>0.32510300496336153</v>
      </c>
      <c r="AK15" s="183">
        <v>0.32530598052851178</v>
      </c>
      <c r="AL15" s="183">
        <v>0.32559717320630721</v>
      </c>
      <c r="AM15" s="183">
        <v>0.3253043315745095</v>
      </c>
      <c r="AN15" s="183">
        <v>0.32568115627037592</v>
      </c>
      <c r="AO15" s="184">
        <v>0.32694996218476441</v>
      </c>
      <c r="AP15" s="179"/>
      <c r="AQ15" s="179"/>
      <c r="AR15" s="179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</row>
    <row r="16" spans="1:54" ht="15.5" x14ac:dyDescent="0.35">
      <c r="A16" s="57">
        <v>2344.9</v>
      </c>
      <c r="B16" s="57">
        <v>2296.1</v>
      </c>
      <c r="C16" s="57">
        <v>2277</v>
      </c>
      <c r="D16" s="57">
        <v>2316.6</v>
      </c>
      <c r="E16" s="57">
        <v>2281.1</v>
      </c>
      <c r="F16" s="58">
        <v>2282.9</v>
      </c>
      <c r="G16" s="59">
        <v>2238.7999999999997</v>
      </c>
      <c r="H16" s="59">
        <v>2189.4</v>
      </c>
      <c r="I16" s="59">
        <v>2184.6999999999998</v>
      </c>
      <c r="J16" s="59">
        <v>2208.1</v>
      </c>
      <c r="K16" s="59">
        <v>2188.9</v>
      </c>
      <c r="L16" s="59">
        <v>2181.4</v>
      </c>
      <c r="M16" s="59">
        <v>2208.1</v>
      </c>
      <c r="N16" s="59">
        <v>2221.4</v>
      </c>
      <c r="O16" s="60">
        <v>2227.4</v>
      </c>
      <c r="P16" s="61">
        <v>2234.6</v>
      </c>
      <c r="Q16" s="62">
        <v>2207.2000000000003</v>
      </c>
      <c r="R16" s="62">
        <v>2229.3000000000002</v>
      </c>
      <c r="S16" s="62">
        <v>2175.8000000000002</v>
      </c>
      <c r="T16" s="62">
        <v>2180.1</v>
      </c>
      <c r="U16" s="5">
        <v>2209.6</v>
      </c>
      <c r="V16" s="177">
        <v>2226.9</v>
      </c>
      <c r="W16" s="5">
        <v>2254.1</v>
      </c>
      <c r="X16" s="5">
        <v>2256.6</v>
      </c>
      <c r="Y16" s="5">
        <v>2313.9</v>
      </c>
      <c r="Z16" s="5">
        <v>2269.6</v>
      </c>
      <c r="AA16" s="5">
        <v>2312.6999999999998</v>
      </c>
      <c r="AB16" s="5">
        <v>2267.7000000000003</v>
      </c>
      <c r="AC16" s="5">
        <v>2279.5</v>
      </c>
      <c r="AD16" s="5">
        <v>2197.8000000000002</v>
      </c>
      <c r="AE16" s="5">
        <v>2205</v>
      </c>
      <c r="AF16" s="5">
        <v>2186.6999999999998</v>
      </c>
      <c r="AG16" s="5">
        <v>2333.9</v>
      </c>
      <c r="AH16" s="5">
        <v>2216.8000000000002</v>
      </c>
      <c r="AI16" s="5">
        <v>2300</v>
      </c>
      <c r="AJ16" s="5">
        <v>2215.3000000000002</v>
      </c>
      <c r="AK16" s="5">
        <v>2355.6</v>
      </c>
      <c r="AL16" s="5">
        <v>2304.5</v>
      </c>
      <c r="AM16" s="5">
        <v>2269.5</v>
      </c>
      <c r="AN16" s="5">
        <v>2215.9</v>
      </c>
      <c r="AO16" s="63">
        <v>2245.3000000000002</v>
      </c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</row>
    <row r="17" spans="1:54" ht="15.5" x14ac:dyDescent="0.35">
      <c r="A17" s="57">
        <v>1660.8</v>
      </c>
      <c r="B17" s="57">
        <v>1581.1</v>
      </c>
      <c r="C17" s="57">
        <v>1724.2</v>
      </c>
      <c r="D17" s="57">
        <v>1436.6000000000001</v>
      </c>
      <c r="E17" s="57">
        <v>1574.8999999999999</v>
      </c>
      <c r="F17" s="58">
        <v>1686</v>
      </c>
      <c r="G17" s="59">
        <v>1800</v>
      </c>
      <c r="H17" s="59">
        <v>1892</v>
      </c>
      <c r="I17" s="59">
        <v>1857</v>
      </c>
      <c r="J17" s="59">
        <v>1837</v>
      </c>
      <c r="K17" s="59">
        <v>1885</v>
      </c>
      <c r="L17" s="59">
        <v>1874</v>
      </c>
      <c r="M17" s="59">
        <v>1851</v>
      </c>
      <c r="N17" s="59">
        <v>1826</v>
      </c>
      <c r="O17" s="60">
        <v>1788</v>
      </c>
      <c r="P17" s="61">
        <v>1782</v>
      </c>
      <c r="Q17" s="62">
        <v>1833</v>
      </c>
      <c r="R17" s="62">
        <v>1817</v>
      </c>
      <c r="S17" s="62">
        <v>1887</v>
      </c>
      <c r="T17" s="62">
        <v>1894</v>
      </c>
      <c r="U17" s="5">
        <v>1830</v>
      </c>
      <c r="V17" s="177">
        <v>1694</v>
      </c>
      <c r="W17" s="5">
        <v>1704</v>
      </c>
      <c r="X17" s="5">
        <v>1609</v>
      </c>
      <c r="Y17" s="5">
        <v>1541</v>
      </c>
      <c r="Z17" s="5">
        <v>1632</v>
      </c>
      <c r="AA17" s="5">
        <v>1565</v>
      </c>
      <c r="AB17" s="5">
        <v>1639</v>
      </c>
      <c r="AC17" s="5">
        <v>1578</v>
      </c>
      <c r="AD17" s="5">
        <v>1684</v>
      </c>
      <c r="AE17" s="5">
        <v>1653</v>
      </c>
      <c r="AF17" s="5">
        <v>1681</v>
      </c>
      <c r="AG17" s="5">
        <v>1530</v>
      </c>
      <c r="AH17" s="5">
        <v>1672</v>
      </c>
      <c r="AI17" s="5">
        <v>1575</v>
      </c>
      <c r="AJ17" s="5">
        <v>1646.4</v>
      </c>
      <c r="AK17" s="5">
        <v>1520</v>
      </c>
      <c r="AL17" s="5">
        <v>1563</v>
      </c>
      <c r="AM17" s="5">
        <v>1556</v>
      </c>
      <c r="AN17" s="5">
        <v>1699</v>
      </c>
      <c r="AO17" s="63">
        <v>1644</v>
      </c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</row>
    <row r="18" spans="1:54" ht="15.5" x14ac:dyDescent="0.35">
      <c r="A18" s="57">
        <v>3194.1</v>
      </c>
      <c r="B18" s="57">
        <v>3396.4</v>
      </c>
      <c r="C18" s="57">
        <v>3313.3</v>
      </c>
      <c r="D18" s="57">
        <v>3557.5</v>
      </c>
      <c r="E18" s="57">
        <v>3395.5</v>
      </c>
      <c r="F18" s="58">
        <v>3245.3</v>
      </c>
      <c r="G18" s="59">
        <v>3215.7000000000003</v>
      </c>
      <c r="H18" s="59">
        <v>3225.6</v>
      </c>
      <c r="I18" s="59">
        <v>3271.4</v>
      </c>
      <c r="J18" s="59">
        <v>3274.4</v>
      </c>
      <c r="K18" s="59">
        <v>3247.5</v>
      </c>
      <c r="L18" s="59">
        <v>3259.5</v>
      </c>
      <c r="M18" s="59">
        <v>3227.2000000000003</v>
      </c>
      <c r="N18" s="59">
        <v>3275.5</v>
      </c>
      <c r="O18" s="60">
        <v>3301.7</v>
      </c>
      <c r="P18" s="61">
        <v>3239.2</v>
      </c>
      <c r="Q18" s="62">
        <v>3269.7</v>
      </c>
      <c r="R18" s="62">
        <v>3252.3</v>
      </c>
      <c r="S18" s="62">
        <v>3229.5</v>
      </c>
      <c r="T18" s="62">
        <v>3240</v>
      </c>
      <c r="U18" s="5">
        <v>3247.8999999999996</v>
      </c>
      <c r="V18" s="177">
        <v>3630.2</v>
      </c>
      <c r="W18" s="5">
        <v>3668.4</v>
      </c>
      <c r="X18" s="5">
        <v>3654.2</v>
      </c>
      <c r="Y18" s="5">
        <v>3689.2</v>
      </c>
      <c r="Z18" s="5">
        <v>3593.3</v>
      </c>
      <c r="AA18" s="5">
        <v>3609.1</v>
      </c>
      <c r="AB18" s="5">
        <v>3638.6000000000004</v>
      </c>
      <c r="AC18" s="5">
        <v>3663.5</v>
      </c>
      <c r="AD18" s="5">
        <v>3650.4</v>
      </c>
      <c r="AE18" s="5">
        <v>3712.4</v>
      </c>
      <c r="AF18" s="5">
        <v>3760.1</v>
      </c>
      <c r="AG18" s="5">
        <v>3611.9</v>
      </c>
      <c r="AH18" s="5">
        <v>3696.9</v>
      </c>
      <c r="AI18" s="5">
        <v>3657.5</v>
      </c>
      <c r="AJ18" s="5">
        <v>3677.5</v>
      </c>
      <c r="AK18" s="5">
        <v>3666.8</v>
      </c>
      <c r="AL18" s="5">
        <v>3682.7</v>
      </c>
      <c r="AM18" s="5">
        <v>3698.9</v>
      </c>
      <c r="AN18" s="5">
        <v>3620.6</v>
      </c>
      <c r="AO18" s="63">
        <v>3650.9</v>
      </c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</row>
    <row r="19" spans="1:54" ht="15.5" x14ac:dyDescent="0.35">
      <c r="A19" s="57">
        <v>1826.1</v>
      </c>
      <c r="B19" s="57">
        <v>1858.8</v>
      </c>
      <c r="C19" s="57">
        <v>1655.4</v>
      </c>
      <c r="D19" s="57">
        <v>1863.8</v>
      </c>
      <c r="E19" s="57">
        <v>1912.5</v>
      </c>
      <c r="F19" s="58">
        <v>2028</v>
      </c>
      <c r="G19" s="59">
        <v>1916.6</v>
      </c>
      <c r="H19" s="59">
        <v>1821.3000000000002</v>
      </c>
      <c r="I19" s="59">
        <v>1855.9</v>
      </c>
      <c r="J19" s="59">
        <v>1824.7</v>
      </c>
      <c r="K19" s="59">
        <v>1803</v>
      </c>
      <c r="L19" s="59">
        <v>1845.8000000000002</v>
      </c>
      <c r="M19" s="59">
        <v>1869.9</v>
      </c>
      <c r="N19" s="59">
        <v>1798.3999999999999</v>
      </c>
      <c r="O19" s="60">
        <v>1842.8</v>
      </c>
      <c r="P19" s="61">
        <v>1947</v>
      </c>
      <c r="Q19" s="62">
        <v>1839.1</v>
      </c>
      <c r="R19" s="62">
        <v>1829.3</v>
      </c>
      <c r="S19" s="62">
        <v>1880.3000000000002</v>
      </c>
      <c r="T19" s="62">
        <v>1825.6999999999998</v>
      </c>
      <c r="U19" s="5">
        <v>1880.9</v>
      </c>
      <c r="V19" s="177">
        <v>1744.6</v>
      </c>
      <c r="W19" s="5">
        <v>1528.6</v>
      </c>
      <c r="X19" s="5">
        <v>1849.3</v>
      </c>
      <c r="Y19" s="5">
        <v>1747.4</v>
      </c>
      <c r="Z19" s="5">
        <v>1849.6000000000001</v>
      </c>
      <c r="AA19" s="5">
        <v>1837</v>
      </c>
      <c r="AB19" s="5">
        <v>1745.6</v>
      </c>
      <c r="AC19" s="5">
        <v>1823.3</v>
      </c>
      <c r="AD19" s="5">
        <v>1849.1999999999998</v>
      </c>
      <c r="AE19" s="5">
        <v>1803</v>
      </c>
      <c r="AF19" s="5">
        <v>1692</v>
      </c>
      <c r="AG19" s="5">
        <v>1849.5</v>
      </c>
      <c r="AH19" s="5">
        <v>1728.3999999999999</v>
      </c>
      <c r="AI19" s="5">
        <v>1770</v>
      </c>
      <c r="AJ19" s="5">
        <v>1639.1</v>
      </c>
      <c r="AK19" s="5">
        <v>1689.5</v>
      </c>
      <c r="AL19" s="5">
        <v>1735.6000000000001</v>
      </c>
      <c r="AM19" s="5">
        <v>1865.2</v>
      </c>
      <c r="AN19" s="5">
        <v>1807.7</v>
      </c>
      <c r="AO19" s="63">
        <v>1794.1000000000001</v>
      </c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</row>
    <row r="20" spans="1:54" ht="15.5" x14ac:dyDescent="0.35">
      <c r="A20" s="57">
        <v>2254.3000000000002</v>
      </c>
      <c r="B20" s="57">
        <v>2151.8000000000002</v>
      </c>
      <c r="C20" s="57">
        <v>2305.6</v>
      </c>
      <c r="D20" s="57">
        <v>2102.6</v>
      </c>
      <c r="E20" s="57">
        <v>2110.9</v>
      </c>
      <c r="F20" s="58">
        <v>2089.1</v>
      </c>
      <c r="G20" s="59">
        <v>2157.2999999999997</v>
      </c>
      <c r="H20" s="59">
        <v>2198.3000000000002</v>
      </c>
      <c r="I20" s="59">
        <v>2162.4</v>
      </c>
      <c r="J20" s="59">
        <v>2189.3000000000002</v>
      </c>
      <c r="K20" s="59">
        <v>2204.9</v>
      </c>
      <c r="L20" s="59">
        <v>2172</v>
      </c>
      <c r="M20" s="59">
        <v>2175.6</v>
      </c>
      <c r="N20" s="59">
        <v>2210</v>
      </c>
      <c r="O20" s="60">
        <v>2173.6999999999998</v>
      </c>
      <c r="P20" s="61">
        <v>2128.1</v>
      </c>
      <c r="Q20" s="62">
        <v>2179.5</v>
      </c>
      <c r="R20" s="62">
        <v>2201.4</v>
      </c>
      <c r="S20" s="62">
        <v>2154.6</v>
      </c>
      <c r="T20" s="62">
        <v>2189.8000000000002</v>
      </c>
      <c r="U20" s="5">
        <v>2159.6</v>
      </c>
      <c r="V20" s="177">
        <v>2205.6</v>
      </c>
      <c r="W20" s="5">
        <v>2355.6</v>
      </c>
      <c r="X20" s="5">
        <v>2134.6999999999998</v>
      </c>
      <c r="Y20" s="5">
        <v>2211</v>
      </c>
      <c r="Z20" s="5">
        <v>2162.6999999999998</v>
      </c>
      <c r="AA20" s="5">
        <v>2179</v>
      </c>
      <c r="AB20" s="5">
        <v>2217.6</v>
      </c>
      <c r="AC20" s="5">
        <v>2165.1999999999998</v>
      </c>
      <c r="AD20" s="5">
        <v>2118.8000000000002</v>
      </c>
      <c r="AE20" s="5">
        <v>2131.8000000000002</v>
      </c>
      <c r="AF20" s="5">
        <v>2183.5</v>
      </c>
      <c r="AG20" s="5">
        <v>2177.2999999999997</v>
      </c>
      <c r="AH20" s="5">
        <v>2190.4</v>
      </c>
      <c r="AI20" s="5">
        <v>2202.8000000000002</v>
      </c>
      <c r="AJ20" s="5">
        <v>2326</v>
      </c>
      <c r="AK20" s="5">
        <v>2272.1</v>
      </c>
      <c r="AL20" s="5">
        <v>2218.4</v>
      </c>
      <c r="AM20" s="5">
        <v>2114.2999999999997</v>
      </c>
      <c r="AN20" s="5">
        <v>2159.3000000000002</v>
      </c>
      <c r="AO20" s="63">
        <v>2169</v>
      </c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</row>
    <row r="21" spans="1:54" ht="15.5" x14ac:dyDescent="0.35">
      <c r="A21" s="31">
        <v>35.802443601006438</v>
      </c>
      <c r="B21" s="31">
        <v>33.116828535342542</v>
      </c>
      <c r="C21" s="31">
        <v>34.574747474747461</v>
      </c>
      <c r="D21" s="31">
        <v>33.374816541483213</v>
      </c>
      <c r="E21" s="31">
        <v>33.774341326552978</v>
      </c>
      <c r="F21" s="64">
        <v>37.818279381488459</v>
      </c>
      <c r="G21" s="65">
        <v>37.74602465606575</v>
      </c>
      <c r="H21" s="65">
        <v>39.528318260710684</v>
      </c>
      <c r="I21" s="65">
        <v>37.076967089302883</v>
      </c>
      <c r="J21" s="65">
        <v>36.779833340881311</v>
      </c>
      <c r="K21" s="65">
        <v>36.797820823244543</v>
      </c>
      <c r="L21" s="65">
        <v>39.632025304850089</v>
      </c>
      <c r="M21" s="65">
        <v>39.092228612834553</v>
      </c>
      <c r="N21" s="65">
        <v>38.126991987035183</v>
      </c>
      <c r="O21" s="66">
        <v>35.47827062943341</v>
      </c>
      <c r="P21" s="67">
        <v>37.580193323189832</v>
      </c>
      <c r="Q21" s="23">
        <v>38.670351576658199</v>
      </c>
      <c r="R21" s="23">
        <v>37.324249764500053</v>
      </c>
      <c r="S21" s="23">
        <v>36.151162790697661</v>
      </c>
      <c r="T21" s="23">
        <v>35.750997660657767</v>
      </c>
      <c r="U21" s="7">
        <v>38.334540188269372</v>
      </c>
      <c r="V21" s="178">
        <v>31.591247923121824</v>
      </c>
      <c r="W21" s="7">
        <v>31.655982432012781</v>
      </c>
      <c r="X21" s="7">
        <v>30.719888327572452</v>
      </c>
      <c r="Y21" s="7">
        <v>33.18270020312027</v>
      </c>
      <c r="Z21" s="7">
        <v>31.442897426859357</v>
      </c>
      <c r="AA21" s="7">
        <v>32.596380853547807</v>
      </c>
      <c r="AB21" s="7">
        <v>34.123980244300377</v>
      </c>
      <c r="AC21" s="7">
        <v>33.160539592015787</v>
      </c>
      <c r="AD21" s="7">
        <v>33.818318318318319</v>
      </c>
      <c r="AE21" s="7">
        <v>31.372653061224486</v>
      </c>
      <c r="AF21" s="7">
        <v>30.947569396807971</v>
      </c>
      <c r="AG21" s="7">
        <v>34.072860876644235</v>
      </c>
      <c r="AH21" s="7">
        <v>33.600505232767944</v>
      </c>
      <c r="AI21" s="7">
        <v>33.256000000000007</v>
      </c>
      <c r="AJ21" s="7">
        <v>36.341782151401603</v>
      </c>
      <c r="AK21" s="7">
        <v>32.331380539989816</v>
      </c>
      <c r="AL21" s="7">
        <v>31.866413538728576</v>
      </c>
      <c r="AM21" s="7">
        <v>31.973055739149579</v>
      </c>
      <c r="AN21" s="7">
        <v>32.899882666185299</v>
      </c>
      <c r="AO21" s="68">
        <v>32.463256580412406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</row>
    <row r="22" spans="1:54" ht="15.5" x14ac:dyDescent="0.35">
      <c r="A22" s="31">
        <v>40.576107899807326</v>
      </c>
      <c r="B22" s="31">
        <v>36.237461261147295</v>
      </c>
      <c r="C22" s="31">
        <v>36.853207284537753</v>
      </c>
      <c r="D22" s="31">
        <v>40.523527773910615</v>
      </c>
      <c r="E22" s="31">
        <v>39.361070544161528</v>
      </c>
      <c r="F22" s="64">
        <v>37.476275207591925</v>
      </c>
      <c r="G22" s="65">
        <v>36.933333333333323</v>
      </c>
      <c r="H22" s="65">
        <v>36.669133192389005</v>
      </c>
      <c r="I22" s="65">
        <v>35.844641895530422</v>
      </c>
      <c r="J22" s="65">
        <v>38.629014697876968</v>
      </c>
      <c r="K22" s="65">
        <v>36.906896551724131</v>
      </c>
      <c r="L22" s="65">
        <v>35.102988260405539</v>
      </c>
      <c r="M22" s="65">
        <v>36.042409508373844</v>
      </c>
      <c r="N22" s="65">
        <v>36.838444687842269</v>
      </c>
      <c r="O22" s="66">
        <v>39.717002237136462</v>
      </c>
      <c r="P22" s="67">
        <v>38.386644219977548</v>
      </c>
      <c r="Q22" s="23">
        <v>37.998636115657384</v>
      </c>
      <c r="R22" s="23">
        <v>38.639240506329109</v>
      </c>
      <c r="S22" s="23">
        <v>39.798887122416538</v>
      </c>
      <c r="T22" s="23">
        <v>39.113516367476244</v>
      </c>
      <c r="U22" s="7">
        <v>38.730601092896173</v>
      </c>
      <c r="V22" s="178">
        <v>40.095041322314053</v>
      </c>
      <c r="W22" s="7">
        <v>34.115023474178408</v>
      </c>
      <c r="X22" s="7">
        <v>37.205407085146049</v>
      </c>
      <c r="Y22" s="7">
        <v>38.544776119402982</v>
      </c>
      <c r="Z22" s="7">
        <v>38.5906862745098</v>
      </c>
      <c r="AA22" s="7">
        <v>38.743450479233218</v>
      </c>
      <c r="AB22" s="7">
        <v>38.870347773032336</v>
      </c>
      <c r="AC22" s="7">
        <v>37.099493029150821</v>
      </c>
      <c r="AD22" s="7">
        <v>38.716152019002365</v>
      </c>
      <c r="AE22" s="7">
        <v>36.361464004839675</v>
      </c>
      <c r="AF22" s="7">
        <v>36.941998810231993</v>
      </c>
      <c r="AG22" s="7">
        <v>31.837254901960776</v>
      </c>
      <c r="AH22" s="7">
        <v>31.911483253588514</v>
      </c>
      <c r="AI22" s="7">
        <v>30.588253968253969</v>
      </c>
      <c r="AJ22" s="7">
        <v>32.087463556851311</v>
      </c>
      <c r="AK22" s="7">
        <v>36.610526315789471</v>
      </c>
      <c r="AL22" s="7">
        <v>35.901791426743436</v>
      </c>
      <c r="AM22" s="7">
        <v>35.772493573264768</v>
      </c>
      <c r="AN22" s="7">
        <v>35.634196586227183</v>
      </c>
      <c r="AO22" s="68">
        <v>34.93552311435522</v>
      </c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</row>
    <row r="23" spans="1:54" ht="15.5" x14ac:dyDescent="0.35">
      <c r="A23" s="31">
        <v>31.51064462602924</v>
      </c>
      <c r="B23" s="31">
        <v>36.628960075373918</v>
      </c>
      <c r="C23" s="31">
        <v>34.784338876648654</v>
      </c>
      <c r="D23" s="31">
        <v>34.871468728039353</v>
      </c>
      <c r="E23" s="31">
        <v>34.105212781622726</v>
      </c>
      <c r="F23" s="64">
        <v>37.671509567682477</v>
      </c>
      <c r="G23" s="65">
        <v>37.183739154771885</v>
      </c>
      <c r="H23" s="65">
        <v>36.183779761904766</v>
      </c>
      <c r="I23" s="65">
        <v>37.745277251329703</v>
      </c>
      <c r="J23" s="65">
        <v>36.737967261177616</v>
      </c>
      <c r="K23" s="65">
        <v>38.567590454195525</v>
      </c>
      <c r="L23" s="65">
        <v>35.380595183310319</v>
      </c>
      <c r="M23" s="65">
        <v>37.690877540902321</v>
      </c>
      <c r="N23" s="65">
        <v>37.95348801709661</v>
      </c>
      <c r="O23" s="66">
        <v>36.837735106157439</v>
      </c>
      <c r="P23" s="67">
        <v>36.816127438873799</v>
      </c>
      <c r="Q23" s="23">
        <v>35.979554699207874</v>
      </c>
      <c r="R23" s="23">
        <v>36.691403007102664</v>
      </c>
      <c r="S23" s="23">
        <v>37.401594674098149</v>
      </c>
      <c r="T23" s="23">
        <v>37.464320987654311</v>
      </c>
      <c r="U23" s="7">
        <v>36.679839280766032</v>
      </c>
      <c r="V23" s="178">
        <v>31.491735992507291</v>
      </c>
      <c r="W23" s="7">
        <v>31.401646494384465</v>
      </c>
      <c r="X23" s="7">
        <v>30.47761479940889</v>
      </c>
      <c r="Y23" s="7">
        <v>27.183291770573557</v>
      </c>
      <c r="Z23" s="7">
        <v>29.278977541535632</v>
      </c>
      <c r="AA23" s="7">
        <v>30.036477238092594</v>
      </c>
      <c r="AB23" s="7">
        <v>26.994310998735777</v>
      </c>
      <c r="AC23" s="7">
        <v>27.941872526272693</v>
      </c>
      <c r="AD23" s="7">
        <v>25.866316020162177</v>
      </c>
      <c r="AE23" s="7">
        <v>29.285583450059249</v>
      </c>
      <c r="AF23" s="7">
        <v>30.017592617217627</v>
      </c>
      <c r="AG23" s="7">
        <v>28.356723608073313</v>
      </c>
      <c r="AH23" s="7">
        <v>29.0555735886824</v>
      </c>
      <c r="AI23" s="7">
        <v>30.461367053998618</v>
      </c>
      <c r="AJ23" s="7">
        <v>27.473677770224324</v>
      </c>
      <c r="AK23" s="7">
        <v>28.472401003599863</v>
      </c>
      <c r="AL23" s="7">
        <v>28.98651804382655</v>
      </c>
      <c r="AM23" s="7">
        <v>28.863756792559947</v>
      </c>
      <c r="AN23" s="7">
        <v>28.285284207037503</v>
      </c>
      <c r="AO23" s="68">
        <v>28.848379851543449</v>
      </c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ht="15.5" x14ac:dyDescent="0.35">
      <c r="A24" s="31">
        <v>28.929494551229389</v>
      </c>
      <c r="B24" s="31">
        <v>27.297288573273075</v>
      </c>
      <c r="C24" s="31">
        <v>25.10154645402924</v>
      </c>
      <c r="D24" s="31">
        <v>23.857549093250345</v>
      </c>
      <c r="E24" s="31">
        <v>27.784444444444446</v>
      </c>
      <c r="F24" s="64">
        <v>35.781065088757394</v>
      </c>
      <c r="G24" s="65">
        <v>39.269174579985382</v>
      </c>
      <c r="H24" s="65">
        <v>38.119008400592975</v>
      </c>
      <c r="I24" s="65">
        <v>40.262110027479928</v>
      </c>
      <c r="J24" s="65">
        <v>39.943908587713054</v>
      </c>
      <c r="K24" s="65">
        <v>38.733277870216298</v>
      </c>
      <c r="L24" s="65">
        <v>39.816827391916767</v>
      </c>
      <c r="M24" s="65">
        <v>35.362238622386222</v>
      </c>
      <c r="N24" s="65">
        <v>37.211966192170806</v>
      </c>
      <c r="O24" s="66">
        <v>39.613088777946601</v>
      </c>
      <c r="P24" s="67">
        <v>37.461376476630711</v>
      </c>
      <c r="Q24" s="23">
        <v>36.842830732423458</v>
      </c>
      <c r="R24" s="23">
        <v>37.257174875635478</v>
      </c>
      <c r="S24" s="23">
        <v>36.889990958889527</v>
      </c>
      <c r="T24" s="23">
        <v>39.023032261598296</v>
      </c>
      <c r="U24" s="7">
        <v>36.654978999415171</v>
      </c>
      <c r="V24" s="178">
        <v>28.539550613321108</v>
      </c>
      <c r="W24" s="7">
        <v>34.292882376030363</v>
      </c>
      <c r="X24" s="7">
        <v>34.859108851998045</v>
      </c>
      <c r="Y24" s="7">
        <v>35.394471786654449</v>
      </c>
      <c r="Z24" s="7">
        <v>34.75237889273356</v>
      </c>
      <c r="AA24" s="7">
        <v>35.884540010887321</v>
      </c>
      <c r="AB24" s="7">
        <v>34.850824931255737</v>
      </c>
      <c r="AC24" s="7">
        <v>36.044726594636103</v>
      </c>
      <c r="AD24" s="7">
        <v>36.131840796019901</v>
      </c>
      <c r="AE24" s="7">
        <v>36.676927343316692</v>
      </c>
      <c r="AF24" s="7">
        <v>37.634751773049643</v>
      </c>
      <c r="AG24" s="7">
        <v>37.422681805893482</v>
      </c>
      <c r="AH24" s="7">
        <v>39.012612821106231</v>
      </c>
      <c r="AI24" s="7">
        <v>35.854802259887002</v>
      </c>
      <c r="AJ24" s="7">
        <v>39.151760112256717</v>
      </c>
      <c r="AK24" s="7">
        <v>34.646493045279655</v>
      </c>
      <c r="AL24" s="7">
        <v>34.951025581931319</v>
      </c>
      <c r="AM24" s="7">
        <v>34.039137894059614</v>
      </c>
      <c r="AN24" s="7">
        <v>33.789096642141949</v>
      </c>
      <c r="AO24" s="68">
        <v>32.670280363413404</v>
      </c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ht="15.5" x14ac:dyDescent="0.35">
      <c r="A25" s="31">
        <v>31.714878232710813</v>
      </c>
      <c r="B25" s="31">
        <v>29.327307370573465</v>
      </c>
      <c r="C25" s="31">
        <v>31.129597501734906</v>
      </c>
      <c r="D25" s="31">
        <v>31.101255588319219</v>
      </c>
      <c r="E25" s="31">
        <v>29.529655597138653</v>
      </c>
      <c r="F25" s="64">
        <v>38.799411229716149</v>
      </c>
      <c r="G25" s="65">
        <v>37.652876280535857</v>
      </c>
      <c r="H25" s="65">
        <v>38.626779784378826</v>
      </c>
      <c r="I25" s="65">
        <v>36.694228634850155</v>
      </c>
      <c r="J25" s="65">
        <v>37.069451422829211</v>
      </c>
      <c r="K25" s="65">
        <v>36.33704476393487</v>
      </c>
      <c r="L25" s="65">
        <v>39.131675874769797</v>
      </c>
      <c r="M25" s="65">
        <v>38.851902923331494</v>
      </c>
      <c r="N25" s="65">
        <v>37.025610859728502</v>
      </c>
      <c r="O25" s="66">
        <v>36.923563509223897</v>
      </c>
      <c r="P25" s="67">
        <v>37.68767915041586</v>
      </c>
      <c r="Q25" s="23">
        <v>38.135833906859375</v>
      </c>
      <c r="R25" s="23">
        <v>38.139229581175613</v>
      </c>
      <c r="S25" s="23">
        <v>37.960038986354775</v>
      </c>
      <c r="T25" s="23">
        <v>36.812265960361678</v>
      </c>
      <c r="U25" s="7">
        <v>37.369420263011676</v>
      </c>
      <c r="V25" s="178">
        <v>34.126949582879938</v>
      </c>
      <c r="W25" s="7">
        <v>33.221854304635762</v>
      </c>
      <c r="X25" s="7">
        <v>34.433433269311848</v>
      </c>
      <c r="Y25" s="7">
        <v>35.929488919041148</v>
      </c>
      <c r="Z25" s="7">
        <v>33.616428538401067</v>
      </c>
      <c r="AA25" s="7">
        <v>30.887608994951808</v>
      </c>
      <c r="AB25" s="7">
        <v>34.573593073593059</v>
      </c>
      <c r="AC25" s="7">
        <v>34.457140217993718</v>
      </c>
      <c r="AD25" s="7">
        <v>34.974041910515375</v>
      </c>
      <c r="AE25" s="7">
        <v>33.175954592363254</v>
      </c>
      <c r="AF25" s="7">
        <v>31.68429127547515</v>
      </c>
      <c r="AG25" s="7">
        <v>35.3715840720158</v>
      </c>
      <c r="AH25" s="7">
        <v>33.271365960555144</v>
      </c>
      <c r="AI25" s="7">
        <v>34.484928273106952</v>
      </c>
      <c r="AJ25" s="7">
        <v>32.443422184006877</v>
      </c>
      <c r="AK25" s="7">
        <v>34.983649487258482</v>
      </c>
      <c r="AL25" s="7">
        <v>34.986116119725928</v>
      </c>
      <c r="AM25" s="7">
        <v>35.82653833420045</v>
      </c>
      <c r="AN25" s="7">
        <v>35.974227758995958</v>
      </c>
      <c r="AO25" s="68">
        <v>37.731811894882426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</row>
    <row r="26" spans="1:54" ht="16" thickBot="1" x14ac:dyDescent="0.4">
      <c r="A26" s="69">
        <v>-7.0477473803655854E-3</v>
      </c>
      <c r="B26" s="69">
        <v>-4.829761968061376E-3</v>
      </c>
      <c r="C26" s="69">
        <v>-5.1438960578243454E-3</v>
      </c>
      <c r="D26" s="69">
        <v>-3.5470111996891731E-4</v>
      </c>
      <c r="E26" s="69">
        <v>-1.2416961569500717E-3</v>
      </c>
      <c r="F26" s="70">
        <v>-2.0121257049058861E-2</v>
      </c>
      <c r="G26" s="71">
        <v>-2.0479502842413771E-2</v>
      </c>
      <c r="H26" s="71">
        <v>-2.3352109194285903E-2</v>
      </c>
      <c r="I26" s="71">
        <v>-2.0165204652558121E-2</v>
      </c>
      <c r="J26" s="71">
        <v>-2.2014382141439214E-2</v>
      </c>
      <c r="K26" s="71">
        <v>-2.2066676670226729E-2</v>
      </c>
      <c r="L26" s="71">
        <v>-2.0736452919427786E-2</v>
      </c>
      <c r="M26" s="71">
        <v>-2.034098731004794E-2</v>
      </c>
      <c r="N26" s="71">
        <v>-2.223928410685453E-2</v>
      </c>
      <c r="O26" s="72">
        <v>-2.3205336345027198E-2</v>
      </c>
      <c r="P26" s="73">
        <v>-2.1181018277453736E-2</v>
      </c>
      <c r="Q26" s="74">
        <v>-2.1759279692810198E-2</v>
      </c>
      <c r="R26" s="74">
        <v>-1.9198008703097451E-2</v>
      </c>
      <c r="S26" s="74">
        <v>-2.1673493890811611E-2</v>
      </c>
      <c r="T26" s="74">
        <v>-2.1580638327919833E-2</v>
      </c>
      <c r="U26" s="172">
        <v>-2.1671963276836115E-2</v>
      </c>
      <c r="V26" s="185">
        <v>3.4778677193012474E-3</v>
      </c>
      <c r="W26" s="186">
        <v>1.1988845161458282E-2</v>
      </c>
      <c r="X26" s="186">
        <v>-1.5212364609955961E-3</v>
      </c>
      <c r="Y26" s="186">
        <v>2.6081286676815321E-4</v>
      </c>
      <c r="Z26" s="186">
        <v>1.6511401557284442E-3</v>
      </c>
      <c r="AA26" s="186">
        <v>1.9995131620126629E-3</v>
      </c>
      <c r="AB26" s="186">
        <v>2.7805535039317677E-3</v>
      </c>
      <c r="AC26" s="186">
        <v>7.2548764064468921E-3</v>
      </c>
      <c r="AD26" s="186">
        <v>3.130380341211427E-3</v>
      </c>
      <c r="AE26" s="186">
        <v>1.5645099607135744E-3</v>
      </c>
      <c r="AF26" s="186">
        <v>1.9994262515975751E-3</v>
      </c>
      <c r="AG26" s="186">
        <v>2.7385112930986845E-3</v>
      </c>
      <c r="AH26" s="186">
        <v>1.5646051545048555E-3</v>
      </c>
      <c r="AI26" s="186">
        <v>2.6074939375762E-4</v>
      </c>
      <c r="AJ26" s="186">
        <v>9.3052163104230395E-2</v>
      </c>
      <c r="AK26" s="186">
        <v>1.0865785813629052E-3</v>
      </c>
      <c r="AL26" s="186">
        <v>1.7384955059917355E-4</v>
      </c>
      <c r="AM26" s="186">
        <v>-5.2156225280149072E-4</v>
      </c>
      <c r="AN26" s="186">
        <v>-1.9560965007607038E-3</v>
      </c>
      <c r="AO26" s="187">
        <v>-1.0866447019548195E-3</v>
      </c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</row>
    <row r="27" spans="1:54" x14ac:dyDescent="0.35"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</row>
    <row r="28" spans="1:54" x14ac:dyDescent="0.35"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</row>
    <row r="29" spans="1:54" x14ac:dyDescent="0.35"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</row>
    <row r="30" spans="1:54" x14ac:dyDescent="0.35"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</row>
    <row r="31" spans="1:54" x14ac:dyDescent="0.35"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7" spans="32:54" x14ac:dyDescent="0.35"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32:54" x14ac:dyDescent="0.35"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32:54" x14ac:dyDescent="0.35"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6" spans="32:54" x14ac:dyDescent="0.35">
      <c r="AP46" s="78"/>
    </row>
  </sheetData>
  <mergeCells count="5">
    <mergeCell ref="AS1:BB1"/>
    <mergeCell ref="A1:E1"/>
    <mergeCell ref="F1:U1"/>
    <mergeCell ref="V1:AE1"/>
    <mergeCell ref="AF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441B-2E4A-4D81-BFB2-927BDB6120C2}">
  <dimension ref="D1:M33"/>
  <sheetViews>
    <sheetView workbookViewId="0">
      <selection activeCell="K37" sqref="K37"/>
    </sheetView>
  </sheetViews>
  <sheetFormatPr defaultRowHeight="14.5" x14ac:dyDescent="0.35"/>
  <cols>
    <col min="7" max="7" width="38.81640625" customWidth="1"/>
    <col min="8" max="8" width="24.1796875" bestFit="1" customWidth="1"/>
    <col min="9" max="9" width="14.81640625" customWidth="1"/>
    <col min="10" max="10" width="38.453125" bestFit="1" customWidth="1"/>
    <col min="11" max="11" width="25.1796875" bestFit="1" customWidth="1"/>
    <col min="12" max="12" width="34.81640625" bestFit="1" customWidth="1"/>
  </cols>
  <sheetData>
    <row r="1" spans="4:13" x14ac:dyDescent="0.35">
      <c r="D1" s="228" t="s">
        <v>63</v>
      </c>
      <c r="E1" s="228"/>
      <c r="F1" s="228"/>
      <c r="G1" s="228"/>
      <c r="H1" s="228"/>
      <c r="I1" s="228"/>
      <c r="J1" s="228"/>
      <c r="K1" s="228"/>
      <c r="L1" s="228"/>
    </row>
    <row r="2" spans="4:13" x14ac:dyDescent="0.35">
      <c r="E2" s="228" t="s">
        <v>64</v>
      </c>
      <c r="F2" s="228"/>
      <c r="G2" t="s">
        <v>65</v>
      </c>
      <c r="M2" t="s">
        <v>66</v>
      </c>
    </row>
    <row r="3" spans="4:13" x14ac:dyDescent="0.35"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</row>
    <row r="4" spans="4:13" x14ac:dyDescent="0.35">
      <c r="D4">
        <v>3</v>
      </c>
      <c r="E4">
        <v>10</v>
      </c>
      <c r="F4">
        <v>5</v>
      </c>
      <c r="G4" t="s">
        <v>76</v>
      </c>
      <c r="I4" t="s">
        <v>77</v>
      </c>
      <c r="M4" t="s">
        <v>78</v>
      </c>
    </row>
    <row r="5" spans="4:13" x14ac:dyDescent="0.35">
      <c r="D5">
        <v>1</v>
      </c>
      <c r="E5">
        <v>9</v>
      </c>
      <c r="F5">
        <v>4</v>
      </c>
      <c r="G5" t="s">
        <v>76</v>
      </c>
      <c r="J5" t="s">
        <v>79</v>
      </c>
      <c r="M5" t="s">
        <v>78</v>
      </c>
    </row>
    <row r="6" spans="4:13" x14ac:dyDescent="0.35">
      <c r="D6">
        <v>0</v>
      </c>
      <c r="E6">
        <v>8</v>
      </c>
      <c r="F6">
        <v>3</v>
      </c>
      <c r="G6" t="s">
        <v>76</v>
      </c>
      <c r="K6" t="s">
        <v>80</v>
      </c>
      <c r="M6" t="s">
        <v>78</v>
      </c>
    </row>
    <row r="7" spans="4:13" x14ac:dyDescent="0.35">
      <c r="D7">
        <v>2</v>
      </c>
      <c r="E7">
        <v>7</v>
      </c>
      <c r="F7">
        <v>2</v>
      </c>
      <c r="G7" t="s">
        <v>81</v>
      </c>
      <c r="L7" t="s">
        <v>82</v>
      </c>
      <c r="M7" t="s">
        <v>78</v>
      </c>
    </row>
    <row r="8" spans="4:13" x14ac:dyDescent="0.35">
      <c r="D8">
        <v>4</v>
      </c>
      <c r="E8">
        <v>6</v>
      </c>
      <c r="F8">
        <v>1</v>
      </c>
      <c r="G8" t="s">
        <v>83</v>
      </c>
      <c r="M8" t="s">
        <v>78</v>
      </c>
    </row>
    <row r="13" spans="4:13" x14ac:dyDescent="0.35">
      <c r="D13" s="228" t="s">
        <v>84</v>
      </c>
      <c r="E13" s="228"/>
      <c r="F13" s="228"/>
      <c r="G13" s="228"/>
      <c r="H13" s="228"/>
      <c r="I13" s="228"/>
      <c r="J13" s="228"/>
      <c r="K13" s="228"/>
      <c r="L13" s="228"/>
    </row>
    <row r="14" spans="4:13" x14ac:dyDescent="0.35">
      <c r="E14" s="228" t="s">
        <v>64</v>
      </c>
      <c r="F14" s="228"/>
      <c r="G14" s="228" t="s">
        <v>85</v>
      </c>
      <c r="H14" s="228"/>
    </row>
    <row r="15" spans="4:13" x14ac:dyDescent="0.35">
      <c r="D15" t="s">
        <v>67</v>
      </c>
      <c r="E15" t="s">
        <v>68</v>
      </c>
      <c r="F15" t="s">
        <v>69</v>
      </c>
      <c r="G15" t="s">
        <v>86</v>
      </c>
      <c r="H15" t="s">
        <v>87</v>
      </c>
      <c r="I15" t="s">
        <v>72</v>
      </c>
      <c r="J15" t="s">
        <v>73</v>
      </c>
      <c r="K15" t="s">
        <v>74</v>
      </c>
      <c r="L15" t="s">
        <v>75</v>
      </c>
    </row>
    <row r="16" spans="4:13" x14ac:dyDescent="0.35">
      <c r="D16">
        <v>3</v>
      </c>
      <c r="E16">
        <v>10</v>
      </c>
      <c r="F16">
        <v>5</v>
      </c>
      <c r="G16" t="s">
        <v>88</v>
      </c>
      <c r="I16" t="s">
        <v>89</v>
      </c>
    </row>
    <row r="17" spans="4:12" x14ac:dyDescent="0.35">
      <c r="D17">
        <v>1</v>
      </c>
      <c r="E17">
        <v>9</v>
      </c>
      <c r="F17">
        <v>4</v>
      </c>
      <c r="G17" t="s">
        <v>90</v>
      </c>
      <c r="J17" t="s">
        <v>89</v>
      </c>
    </row>
    <row r="18" spans="4:12" x14ac:dyDescent="0.35">
      <c r="D18">
        <v>0</v>
      </c>
      <c r="E18">
        <v>8</v>
      </c>
      <c r="F18">
        <v>3</v>
      </c>
      <c r="G18" t="s">
        <v>91</v>
      </c>
      <c r="K18" t="s">
        <v>92</v>
      </c>
    </row>
    <row r="19" spans="4:12" x14ac:dyDescent="0.35">
      <c r="D19">
        <v>2</v>
      </c>
      <c r="E19">
        <v>7</v>
      </c>
      <c r="F19">
        <v>2</v>
      </c>
      <c r="G19" t="s">
        <v>90</v>
      </c>
      <c r="L19" t="s">
        <v>89</v>
      </c>
    </row>
    <row r="20" spans="4:12" x14ac:dyDescent="0.35">
      <c r="D20">
        <v>4</v>
      </c>
      <c r="E20">
        <v>6</v>
      </c>
      <c r="F20">
        <v>1</v>
      </c>
      <c r="G20" t="s">
        <v>90</v>
      </c>
    </row>
    <row r="29" spans="4:12" x14ac:dyDescent="0.35">
      <c r="G29" t="s">
        <v>93</v>
      </c>
      <c r="K29" t="s">
        <v>94</v>
      </c>
    </row>
    <row r="31" spans="4:12" x14ac:dyDescent="0.35">
      <c r="G31" t="s">
        <v>95</v>
      </c>
      <c r="K31" t="s">
        <v>96</v>
      </c>
    </row>
    <row r="32" spans="4:12" x14ac:dyDescent="0.35">
      <c r="G32" t="s">
        <v>97</v>
      </c>
      <c r="K32" t="s">
        <v>98</v>
      </c>
    </row>
    <row r="33" spans="7:11" x14ac:dyDescent="0.35">
      <c r="G33" t="s">
        <v>99</v>
      </c>
      <c r="K33" t="s">
        <v>100</v>
      </c>
    </row>
  </sheetData>
  <mergeCells count="5">
    <mergeCell ref="G14:H14"/>
    <mergeCell ref="E2:F2"/>
    <mergeCell ref="D1:L1"/>
    <mergeCell ref="D13:L13"/>
    <mergeCell ref="E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AC7F-7263-4B25-8FC5-140AF7C4D14E}">
  <dimension ref="A5:W69"/>
  <sheetViews>
    <sheetView topLeftCell="A50" zoomScale="85" zoomScaleNormal="85" workbookViewId="0">
      <selection activeCell="F64" sqref="F64"/>
    </sheetView>
  </sheetViews>
  <sheetFormatPr defaultColWidth="9.1796875" defaultRowHeight="14.5" x14ac:dyDescent="0.35"/>
  <cols>
    <col min="1" max="1" width="10" bestFit="1" customWidth="1"/>
    <col min="2" max="2" width="31.453125" bestFit="1" customWidth="1"/>
    <col min="3" max="3" width="21.54296875" bestFit="1" customWidth="1"/>
    <col min="4" max="4" width="15.453125" bestFit="1" customWidth="1"/>
    <col min="5" max="5" width="45.54296875" bestFit="1" customWidth="1"/>
    <col min="6" max="6" width="54" bestFit="1" customWidth="1"/>
    <col min="7" max="7" width="10.54296875" customWidth="1"/>
    <col min="8" max="8" width="12.453125" bestFit="1" customWidth="1"/>
    <col min="9" max="9" width="12.453125" customWidth="1"/>
    <col min="10" max="10" width="10.1796875" bestFit="1" customWidth="1"/>
  </cols>
  <sheetData>
    <row r="5" spans="1:14" x14ac:dyDescent="0.35">
      <c r="A5" t="s">
        <v>101</v>
      </c>
      <c r="B5" s="240" t="s">
        <v>102</v>
      </c>
      <c r="C5" s="240"/>
    </row>
    <row r="6" spans="1:14" x14ac:dyDescent="0.35">
      <c r="A6" s="79" t="s">
        <v>103</v>
      </c>
      <c r="B6" s="79" t="s">
        <v>104</v>
      </c>
      <c r="C6" s="79" t="s">
        <v>105</v>
      </c>
      <c r="D6" s="79" t="s">
        <v>106</v>
      </c>
      <c r="E6" s="79" t="s">
        <v>107</v>
      </c>
      <c r="F6" s="79" t="s">
        <v>108</v>
      </c>
      <c r="G6" s="79" t="s">
        <v>109</v>
      </c>
      <c r="H6" s="79" t="s">
        <v>110</v>
      </c>
      <c r="I6" s="22" t="s">
        <v>111</v>
      </c>
    </row>
    <row r="7" spans="1:14" x14ac:dyDescent="0.35">
      <c r="A7" s="79">
        <v>3</v>
      </c>
      <c r="B7" s="79" t="s">
        <v>112</v>
      </c>
      <c r="C7" s="79" t="s">
        <v>113</v>
      </c>
      <c r="D7" s="79">
        <v>44</v>
      </c>
      <c r="E7" s="79" t="s">
        <v>114</v>
      </c>
      <c r="F7" s="79"/>
      <c r="G7" s="80">
        <f>AVERAGE('[1]Mass_CG Raw Data'!I43:M43)</f>
        <v>39.726143711042361</v>
      </c>
      <c r="H7" s="80">
        <f>AVERAGE('[1]Mass_CG Raw Data'!F43:H43)</f>
        <v>36.900073496969164</v>
      </c>
      <c r="I7" s="22">
        <f>115+137.4</f>
        <v>252.4</v>
      </c>
    </row>
    <row r="8" spans="1:14" x14ac:dyDescent="0.35">
      <c r="A8" s="79">
        <v>1</v>
      </c>
      <c r="B8" s="79" t="s">
        <v>115</v>
      </c>
      <c r="C8" s="79" t="s">
        <v>116</v>
      </c>
      <c r="D8" s="79">
        <v>30</v>
      </c>
      <c r="E8" s="79" t="s">
        <v>117</v>
      </c>
      <c r="F8" s="79"/>
      <c r="G8" s="80">
        <f>AVERAGE('[1]Mass_CG Raw Data'!I44:M44)</f>
        <v>50.049198087337402</v>
      </c>
      <c r="H8" s="80">
        <f>AVERAGE('[1]Mass_CG Raw Data'!F44:H44)</f>
        <v>37.202886031414629</v>
      </c>
      <c r="I8" s="22">
        <f>115+140+20</f>
        <v>275</v>
      </c>
    </row>
    <row r="9" spans="1:14" x14ac:dyDescent="0.35">
      <c r="A9" s="79">
        <v>0</v>
      </c>
      <c r="B9" s="79" t="s">
        <v>118</v>
      </c>
      <c r="C9" s="79" t="s">
        <v>119</v>
      </c>
      <c r="D9" s="79">
        <v>38</v>
      </c>
      <c r="E9" s="79" t="s">
        <v>120</v>
      </c>
      <c r="F9" s="79" t="s">
        <v>121</v>
      </c>
      <c r="G9" s="80">
        <f>AVERAGE('[1]Mass_CG Raw Data'!I45:M45)</f>
        <v>30.404135422729485</v>
      </c>
      <c r="H9" s="80">
        <f>AVERAGE('[1]Mass_CG Raw Data'!F45:H45)</f>
        <v>47.999263901614455</v>
      </c>
      <c r="I9" s="22">
        <f>965</f>
        <v>965</v>
      </c>
    </row>
    <row r="10" spans="1:14" x14ac:dyDescent="0.35">
      <c r="A10" s="79">
        <v>2</v>
      </c>
      <c r="B10" s="79" t="s">
        <v>122</v>
      </c>
      <c r="C10" s="79" t="s">
        <v>119</v>
      </c>
      <c r="D10" s="79">
        <v>50</v>
      </c>
      <c r="E10" s="79" t="s">
        <v>123</v>
      </c>
      <c r="F10" s="79" t="s">
        <v>124</v>
      </c>
      <c r="G10" s="80">
        <f>AVERAGE('[1]Mass_CG Raw Data'!I46:M46)</f>
        <v>50.990226010799852</v>
      </c>
      <c r="H10" s="80">
        <f>AVERAGE('[1]Mass_CG Raw Data'!F46:H46)</f>
        <v>40.917999198268639</v>
      </c>
      <c r="I10" s="22">
        <f>120+115</f>
        <v>235</v>
      </c>
    </row>
    <row r="11" spans="1:14" x14ac:dyDescent="0.35">
      <c r="A11" s="79">
        <v>4</v>
      </c>
      <c r="B11" s="79" t="s">
        <v>125</v>
      </c>
      <c r="C11" s="79" t="s">
        <v>113</v>
      </c>
      <c r="D11" s="79">
        <v>27</v>
      </c>
      <c r="E11" s="79" t="s">
        <v>126</v>
      </c>
      <c r="F11" s="79"/>
      <c r="G11" s="80">
        <f>AVERAGE('[1]Mass_CG Raw Data'!I47:M47)</f>
        <v>34.251016754309418</v>
      </c>
      <c r="H11" s="80">
        <f>AVERAGE('[1]Mass_CG Raw Data'!F47:H47)</f>
        <v>20.816169832880959</v>
      </c>
      <c r="I11" s="22">
        <f>115+139.1</f>
        <v>254.1</v>
      </c>
    </row>
    <row r="14" spans="1:14" x14ac:dyDescent="0.35">
      <c r="A14" t="s">
        <v>127</v>
      </c>
      <c r="B14" s="240" t="s">
        <v>102</v>
      </c>
      <c r="C14" s="240"/>
      <c r="J14" s="239" t="s">
        <v>128</v>
      </c>
      <c r="K14" s="239"/>
      <c r="L14" s="239"/>
      <c r="M14" s="239"/>
    </row>
    <row r="15" spans="1:14" x14ac:dyDescent="0.35">
      <c r="A15" s="79" t="s">
        <v>103</v>
      </c>
      <c r="B15" s="79" t="s">
        <v>129</v>
      </c>
      <c r="C15" s="79" t="s">
        <v>105</v>
      </c>
      <c r="D15" s="79" t="s">
        <v>130</v>
      </c>
      <c r="E15" s="79" t="s">
        <v>107</v>
      </c>
      <c r="F15" s="79" t="s">
        <v>108</v>
      </c>
      <c r="G15" s="79" t="s">
        <v>131</v>
      </c>
      <c r="H15" s="79" t="s">
        <v>110</v>
      </c>
      <c r="I15" s="79" t="s">
        <v>132</v>
      </c>
      <c r="J15" s="79" t="s">
        <v>111</v>
      </c>
      <c r="K15" s="79" t="s">
        <v>133</v>
      </c>
      <c r="L15" s="79" t="s">
        <v>134</v>
      </c>
      <c r="M15" s="79" t="s">
        <v>135</v>
      </c>
      <c r="N15" s="79" t="s">
        <v>136</v>
      </c>
    </row>
    <row r="16" spans="1:14" x14ac:dyDescent="0.35">
      <c r="A16" s="79">
        <v>3</v>
      </c>
      <c r="B16" s="79" t="s">
        <v>112</v>
      </c>
      <c r="C16" s="79" t="s">
        <v>113</v>
      </c>
      <c r="D16" s="79">
        <v>37</v>
      </c>
      <c r="E16" s="79" t="s">
        <v>137</v>
      </c>
      <c r="F16" s="79"/>
      <c r="G16" s="80">
        <f>AVERAGE('[1]Mass_CG Raw Data'!N43:P43)</f>
        <v>30.905589094055021</v>
      </c>
      <c r="H16" s="80">
        <f>AVERAGE('[1]Mass_CG Raw Data'!EJ43:EL43)</f>
        <v>38.702723957512156</v>
      </c>
      <c r="I16" s="80">
        <f>AVERAGE('[1]Mass_CG Raw Data'!EM43:EQ43)</f>
        <v>36.989678950511404</v>
      </c>
      <c r="J16" s="79">
        <f>114+137.4+201.1</f>
        <v>452.5</v>
      </c>
      <c r="K16" s="79">
        <f>201.1+137.4</f>
        <v>338.5</v>
      </c>
      <c r="L16" s="79">
        <f>210.5</f>
        <v>210.5</v>
      </c>
      <c r="M16" s="79">
        <f>J16-K16+210.5</f>
        <v>324.5</v>
      </c>
      <c r="N16" s="81" t="s">
        <v>138</v>
      </c>
    </row>
    <row r="17" spans="1:14" x14ac:dyDescent="0.35">
      <c r="A17" s="79">
        <v>1</v>
      </c>
      <c r="B17" s="79" t="s">
        <v>139</v>
      </c>
      <c r="C17" s="79" t="s">
        <v>140</v>
      </c>
      <c r="D17" s="79">
        <v>32</v>
      </c>
      <c r="E17" s="79" t="s">
        <v>141</v>
      </c>
      <c r="F17" s="79" t="s">
        <v>142</v>
      </c>
      <c r="G17" s="80">
        <f>AVERAGE('[1]Mass_CG Raw Data'!N44:P44)</f>
        <v>51.499999999999993</v>
      </c>
      <c r="H17" s="80">
        <f>AVERAGE('[1]Mass_CG Raw Data'!EJ44:EL44)</f>
        <v>32.235389768016638</v>
      </c>
      <c r="I17" s="80">
        <f>AVERAGE('[1]Mass_CG Raw Data'!EM44:EQ44)</f>
        <v>37.118328875440014</v>
      </c>
      <c r="J17" s="79">
        <f>114+140.9</f>
        <v>254.9</v>
      </c>
      <c r="K17" s="79">
        <v>140.9</v>
      </c>
      <c r="L17" s="79">
        <f>225.3+40.1</f>
        <v>265.40000000000003</v>
      </c>
      <c r="M17" s="79">
        <f>J17-K17+L17</f>
        <v>379.40000000000003</v>
      </c>
      <c r="N17" s="81"/>
    </row>
    <row r="18" spans="1:14" x14ac:dyDescent="0.35">
      <c r="A18" s="79">
        <v>0</v>
      </c>
      <c r="B18" s="79" t="s">
        <v>143</v>
      </c>
      <c r="C18" s="79" t="s">
        <v>119</v>
      </c>
      <c r="D18" s="79">
        <v>46</v>
      </c>
      <c r="E18" s="79" t="s">
        <v>144</v>
      </c>
      <c r="F18" s="79"/>
      <c r="G18" s="80">
        <f>AVERAGE('[1]Mass_CG Raw Data'!N45:P45)</f>
        <v>41.156498822321574</v>
      </c>
      <c r="H18" s="80">
        <f>AVERAGE('[1]Mass_CG Raw Data'!EJ45:EL45)</f>
        <v>45.84028199300792</v>
      </c>
      <c r="I18" s="80">
        <f>AVERAGE('[1]Mass_CG Raw Data'!EM45:EQ45)</f>
        <v>47.054930499299225</v>
      </c>
      <c r="J18" s="79">
        <v>810.2</v>
      </c>
      <c r="K18" s="79">
        <v>120</v>
      </c>
      <c r="L18" s="79">
        <v>272.8</v>
      </c>
      <c r="M18" s="79">
        <f>J18-K18+L18</f>
        <v>963</v>
      </c>
      <c r="N18" s="81"/>
    </row>
    <row r="19" spans="1:14" x14ac:dyDescent="0.35">
      <c r="A19" s="79">
        <v>2</v>
      </c>
      <c r="B19" s="79" t="s">
        <v>145</v>
      </c>
      <c r="C19" s="79" t="s">
        <v>146</v>
      </c>
      <c r="D19" s="79">
        <v>47</v>
      </c>
      <c r="E19" s="79" t="s">
        <v>147</v>
      </c>
      <c r="F19" s="79" t="s">
        <v>148</v>
      </c>
      <c r="G19" s="80">
        <f>AVERAGE('[1]Mass_CG Raw Data'!N46:P46)</f>
        <v>51.499999999999993</v>
      </c>
      <c r="H19" s="80">
        <f>AVERAGE('[1]Mass_CG Raw Data'!EJ46:EL46)</f>
        <v>50.406433977867323</v>
      </c>
      <c r="I19" s="80">
        <f>AVERAGE('[1]Mass_CG Raw Data'!EM46:EQ46)</f>
        <v>51.369218299969624</v>
      </c>
      <c r="J19" s="79">
        <f>115+272.8</f>
        <v>387.8</v>
      </c>
      <c r="K19" s="79">
        <v>272.8</v>
      </c>
      <c r="L19" s="79">
        <v>120</v>
      </c>
      <c r="M19" s="79">
        <f>J19-K19+L19</f>
        <v>235</v>
      </c>
      <c r="N19" s="81"/>
    </row>
    <row r="20" spans="1:14" x14ac:dyDescent="0.35">
      <c r="A20" s="79">
        <v>4</v>
      </c>
      <c r="B20" s="79" t="s">
        <v>125</v>
      </c>
      <c r="C20" s="79" t="s">
        <v>149</v>
      </c>
      <c r="D20" s="79">
        <v>25</v>
      </c>
      <c r="E20" s="79" t="s">
        <v>150</v>
      </c>
      <c r="F20" s="79" t="s">
        <v>151</v>
      </c>
      <c r="G20" s="80">
        <f>AVERAGE('[1]Mass_CG Raw Data'!N47:P47)</f>
        <v>29.666038374096591</v>
      </c>
      <c r="H20" s="80">
        <f>AVERAGE('[1]Mass_CG Raw Data'!EJ47:EL47)</f>
        <v>23.428081106581647</v>
      </c>
      <c r="I20" s="80">
        <f>AVERAGE('[1]Mass_CG Raw Data'!EM47:EQ47)</f>
        <v>23.480394134690368</v>
      </c>
      <c r="J20" s="79">
        <v>457.5</v>
      </c>
      <c r="K20" s="79">
        <v>199.8</v>
      </c>
      <c r="L20" s="79">
        <v>190.7</v>
      </c>
      <c r="M20" s="79">
        <f>J20-K20+L20</f>
        <v>448.4</v>
      </c>
      <c r="N20" s="81" t="s">
        <v>152</v>
      </c>
    </row>
    <row r="21" spans="1:14" x14ac:dyDescent="0.35">
      <c r="M21" s="82"/>
    </row>
    <row r="23" spans="1:14" x14ac:dyDescent="0.35">
      <c r="A23" t="s">
        <v>153</v>
      </c>
      <c r="B23" s="240" t="s">
        <v>102</v>
      </c>
      <c r="C23" s="240"/>
    </row>
    <row r="24" spans="1:14" x14ac:dyDescent="0.35">
      <c r="A24" s="79" t="s">
        <v>103</v>
      </c>
      <c r="B24" s="79" t="s">
        <v>129</v>
      </c>
      <c r="C24" s="79" t="s">
        <v>105</v>
      </c>
      <c r="D24" s="79" t="s">
        <v>130</v>
      </c>
      <c r="E24" s="79" t="s">
        <v>107</v>
      </c>
      <c r="F24" s="79" t="s">
        <v>108</v>
      </c>
      <c r="G24" s="79" t="s">
        <v>131</v>
      </c>
      <c r="H24" s="79" t="s">
        <v>110</v>
      </c>
      <c r="I24" s="79" t="s">
        <v>132</v>
      </c>
    </row>
    <row r="25" spans="1:14" x14ac:dyDescent="0.35">
      <c r="A25" s="79">
        <v>3</v>
      </c>
      <c r="B25" s="79" t="s">
        <v>154</v>
      </c>
      <c r="C25" s="79" t="s">
        <v>113</v>
      </c>
      <c r="D25" s="80">
        <f>'[1]Summary '!O43</f>
        <v>34.435229142354423</v>
      </c>
      <c r="E25" t="s">
        <v>114</v>
      </c>
      <c r="F25" s="79"/>
      <c r="G25" s="80">
        <f>'[1]ATV Only Summary'!B40</f>
        <v>37.171659949187635</v>
      </c>
      <c r="H25" s="80"/>
      <c r="I25" s="80"/>
    </row>
    <row r="26" spans="1:14" x14ac:dyDescent="0.35">
      <c r="A26" s="79">
        <v>1</v>
      </c>
      <c r="B26" s="79" t="s">
        <v>155</v>
      </c>
      <c r="C26" s="79" t="s">
        <v>156</v>
      </c>
      <c r="D26" s="80">
        <f>'[1]Summary '!O44</f>
        <v>37.733484840131204</v>
      </c>
      <c r="E26" s="79" t="s">
        <v>157</v>
      </c>
      <c r="F26" s="79"/>
      <c r="G26" s="80">
        <f>'[1]ATV Only Summary'!B41</f>
        <v>47.684076697520744</v>
      </c>
      <c r="H26" s="80"/>
      <c r="I26" s="80"/>
    </row>
    <row r="27" spans="1:14" x14ac:dyDescent="0.35">
      <c r="A27" s="79">
        <v>0</v>
      </c>
      <c r="B27" s="79" t="s">
        <v>158</v>
      </c>
      <c r="C27" s="79" t="s">
        <v>119</v>
      </c>
      <c r="D27" s="80">
        <f>'[1]Summary '!O45</f>
        <v>41.38478272975911</v>
      </c>
      <c r="E27" s="79" t="s">
        <v>159</v>
      </c>
      <c r="F27" s="79"/>
      <c r="G27" s="80">
        <f>'[1]ATV Only Summary'!B42</f>
        <v>34.206952000490709</v>
      </c>
      <c r="H27" s="80"/>
      <c r="I27" s="80"/>
    </row>
    <row r="28" spans="1:14" x14ac:dyDescent="0.35">
      <c r="A28" s="79">
        <v>2</v>
      </c>
      <c r="B28" s="79" t="s">
        <v>160</v>
      </c>
      <c r="C28" s="79" t="s">
        <v>161</v>
      </c>
      <c r="D28" s="80">
        <f>'[1]Summary '!O46</f>
        <v>44.772644260829409</v>
      </c>
      <c r="E28" s="79" t="s">
        <v>114</v>
      </c>
      <c r="F28" s="79"/>
      <c r="G28" s="80">
        <f>'[1]ATV Only Summary'!B43</f>
        <v>44.388213520032821</v>
      </c>
      <c r="H28" s="80"/>
      <c r="I28" s="80"/>
    </row>
    <row r="29" spans="1:14" x14ac:dyDescent="0.35">
      <c r="A29" s="79">
        <v>4</v>
      </c>
      <c r="B29" s="79" t="s">
        <v>162</v>
      </c>
      <c r="C29" s="79" t="s">
        <v>149</v>
      </c>
      <c r="D29" s="80">
        <f>'[1]Summary '!O47</f>
        <v>32.260510585419937</v>
      </c>
      <c r="E29" s="79" t="s">
        <v>163</v>
      </c>
      <c r="F29" s="79"/>
      <c r="G29" s="80">
        <f>'[1]ATV Only Summary'!B44</f>
        <v>39.535339695544444</v>
      </c>
      <c r="H29" s="80"/>
      <c r="I29" s="80"/>
    </row>
    <row r="31" spans="1:14" x14ac:dyDescent="0.35">
      <c r="C31" s="22"/>
    </row>
    <row r="32" spans="1:14" x14ac:dyDescent="0.35">
      <c r="A32" s="83">
        <v>43317</v>
      </c>
      <c r="B32" s="240" t="s">
        <v>102</v>
      </c>
      <c r="C32" s="240"/>
    </row>
    <row r="33" spans="1:23" x14ac:dyDescent="0.35">
      <c r="A33" s="79" t="s">
        <v>103</v>
      </c>
      <c r="B33" s="79" t="s">
        <v>129</v>
      </c>
      <c r="C33" s="79" t="s">
        <v>105</v>
      </c>
      <c r="D33" s="79" t="s">
        <v>130</v>
      </c>
      <c r="E33" s="79" t="s">
        <v>107</v>
      </c>
      <c r="F33" s="79" t="s">
        <v>108</v>
      </c>
      <c r="G33" s="79" t="s">
        <v>131</v>
      </c>
      <c r="H33" s="79" t="s">
        <v>110</v>
      </c>
      <c r="I33" s="79" t="s">
        <v>132</v>
      </c>
      <c r="J33" s="239" t="s">
        <v>164</v>
      </c>
      <c r="K33" s="239"/>
      <c r="L33" s="239"/>
      <c r="M33" s="239"/>
      <c r="N33" s="239" t="s">
        <v>165</v>
      </c>
      <c r="O33" s="239"/>
      <c r="P33" s="239"/>
      <c r="Q33" s="239"/>
      <c r="R33" s="239" t="s">
        <v>166</v>
      </c>
      <c r="S33" s="239"/>
      <c r="T33" s="239"/>
      <c r="U33" s="239"/>
    </row>
    <row r="34" spans="1:23" x14ac:dyDescent="0.35">
      <c r="A34" s="79">
        <v>3</v>
      </c>
      <c r="B34" s="79" t="s">
        <v>154</v>
      </c>
      <c r="C34" s="79" t="s">
        <v>167</v>
      </c>
      <c r="D34" s="7">
        <v>39.528887073894168</v>
      </c>
      <c r="E34" t="s">
        <v>168</v>
      </c>
      <c r="F34" s="79" t="s">
        <v>169</v>
      </c>
      <c r="G34" s="84">
        <v>37.554795946290085</v>
      </c>
      <c r="H34" s="80"/>
      <c r="I34" s="80"/>
      <c r="J34" s="79" t="s">
        <v>111</v>
      </c>
      <c r="K34" s="79" t="s">
        <v>133</v>
      </c>
      <c r="L34" s="79" t="s">
        <v>134</v>
      </c>
      <c r="M34" s="79" t="s">
        <v>135</v>
      </c>
      <c r="N34" s="79" t="s">
        <v>111</v>
      </c>
      <c r="O34" s="79" t="s">
        <v>133</v>
      </c>
      <c r="P34" s="79" t="s">
        <v>134</v>
      </c>
      <c r="Q34" s="79" t="s">
        <v>135</v>
      </c>
      <c r="R34" s="79" t="s">
        <v>111</v>
      </c>
      <c r="S34" s="79" t="s">
        <v>133</v>
      </c>
      <c r="T34" s="79" t="s">
        <v>134</v>
      </c>
      <c r="U34" s="79" t="s">
        <v>135</v>
      </c>
    </row>
    <row r="35" spans="1:23" x14ac:dyDescent="0.35">
      <c r="A35" s="79">
        <v>1</v>
      </c>
      <c r="B35" s="79" t="s">
        <v>170</v>
      </c>
      <c r="C35" s="79" t="s">
        <v>171</v>
      </c>
      <c r="D35" s="7">
        <v>11.157142857142857</v>
      </c>
      <c r="E35" s="79" t="s">
        <v>172</v>
      </c>
      <c r="F35" s="79"/>
      <c r="G35" s="84">
        <v>37.896967430672944</v>
      </c>
      <c r="H35" s="80"/>
      <c r="I35" s="80"/>
      <c r="J35" s="79">
        <v>324.5</v>
      </c>
      <c r="K35" s="79">
        <v>210.5</v>
      </c>
      <c r="L35" s="79">
        <v>274.5</v>
      </c>
      <c r="M35" s="79">
        <f>J35-K35+L35</f>
        <v>388.5</v>
      </c>
      <c r="N35" s="79">
        <v>388.5</v>
      </c>
      <c r="O35" s="79">
        <v>274.8</v>
      </c>
      <c r="P35" s="79">
        <f>36.8+139.1</f>
        <v>175.89999999999998</v>
      </c>
      <c r="Q35" s="79">
        <f>N35-O35+P35</f>
        <v>289.59999999999997</v>
      </c>
      <c r="R35" s="79">
        <v>289.59999999999997</v>
      </c>
      <c r="S35" s="79"/>
      <c r="T35" s="79">
        <v>100.3</v>
      </c>
      <c r="U35" s="79">
        <f>R35-S35+T35</f>
        <v>389.9</v>
      </c>
      <c r="V35">
        <f>114+36.8+139.1+100.3</f>
        <v>390.2</v>
      </c>
      <c r="W35">
        <f>114+139+36.8</f>
        <v>289.8</v>
      </c>
    </row>
    <row r="36" spans="1:23" x14ac:dyDescent="0.35">
      <c r="A36" s="79">
        <v>0</v>
      </c>
      <c r="B36" s="79" t="s">
        <v>158</v>
      </c>
      <c r="C36" s="79" t="s">
        <v>173</v>
      </c>
      <c r="D36" s="7">
        <v>40.258166052975398</v>
      </c>
      <c r="E36" s="79" t="s">
        <v>174</v>
      </c>
      <c r="F36" s="79"/>
      <c r="G36" s="84">
        <v>37.017031305568338</v>
      </c>
      <c r="H36" s="80"/>
      <c r="I36" s="80"/>
      <c r="J36" s="79">
        <v>379.40000000000003</v>
      </c>
      <c r="K36" s="79"/>
      <c r="L36" s="79"/>
      <c r="M36" s="79">
        <f>J36-K36+L36</f>
        <v>379.40000000000003</v>
      </c>
      <c r="N36" s="79">
        <v>379.40000000000003</v>
      </c>
      <c r="O36" s="79">
        <v>41.8</v>
      </c>
      <c r="P36" s="79">
        <v>140.9</v>
      </c>
      <c r="Q36" s="79">
        <f>N36-O36+P36</f>
        <v>478.5</v>
      </c>
      <c r="R36" s="79">
        <v>478.5</v>
      </c>
      <c r="S36" s="79">
        <v>140.9</v>
      </c>
      <c r="T36" s="79">
        <v>40</v>
      </c>
      <c r="U36" s="79">
        <f>R36-S36+T36</f>
        <v>377.6</v>
      </c>
      <c r="V36">
        <f>224+40+114</f>
        <v>378</v>
      </c>
    </row>
    <row r="37" spans="1:23" x14ac:dyDescent="0.35">
      <c r="A37" s="79">
        <v>2</v>
      </c>
      <c r="B37" s="79" t="s">
        <v>160</v>
      </c>
      <c r="C37" s="79" t="s">
        <v>161</v>
      </c>
      <c r="D37" s="7">
        <v>44.160037878787875</v>
      </c>
      <c r="E37" s="79" t="s">
        <v>175</v>
      </c>
      <c r="F37" s="79"/>
      <c r="G37" s="84">
        <v>37.883081969007655</v>
      </c>
      <c r="H37" s="80"/>
      <c r="I37" s="80"/>
      <c r="J37" s="79">
        <v>963</v>
      </c>
      <c r="K37" s="79">
        <v>272.8</v>
      </c>
      <c r="L37" s="79">
        <v>120</v>
      </c>
      <c r="M37" s="79">
        <f>J37-K37+L37</f>
        <v>810.2</v>
      </c>
      <c r="N37" s="79">
        <v>810.2</v>
      </c>
      <c r="O37" s="79"/>
      <c r="P37" s="79"/>
      <c r="Q37" s="79">
        <f>N37-O37+P37</f>
        <v>810.2</v>
      </c>
      <c r="R37" s="79">
        <v>810.2</v>
      </c>
      <c r="S37" s="79"/>
      <c r="T37" s="79"/>
      <c r="U37" s="79">
        <f>R37-S37+T37</f>
        <v>810.2</v>
      </c>
      <c r="W37">
        <v>810.2</v>
      </c>
    </row>
    <row r="38" spans="1:23" x14ac:dyDescent="0.35">
      <c r="A38" s="79">
        <v>4</v>
      </c>
      <c r="B38" s="79" t="s">
        <v>162</v>
      </c>
      <c r="C38" s="79" t="s">
        <v>176</v>
      </c>
      <c r="D38" s="7">
        <v>43.626930885338503</v>
      </c>
      <c r="E38" s="85" t="s">
        <v>177</v>
      </c>
      <c r="F38" s="79"/>
      <c r="G38" s="84">
        <v>37.697666251513191</v>
      </c>
      <c r="H38" s="80"/>
      <c r="I38" s="80"/>
      <c r="J38" s="79">
        <v>235</v>
      </c>
      <c r="K38" s="79">
        <v>120</v>
      </c>
      <c r="L38" s="79">
        <v>272.8</v>
      </c>
      <c r="M38" s="79">
        <f>J38-K38+L38</f>
        <v>387.8</v>
      </c>
      <c r="N38" s="79">
        <v>387.8</v>
      </c>
      <c r="O38" s="79"/>
      <c r="P38" s="79"/>
      <c r="Q38" s="79">
        <f>N38-O38+P38</f>
        <v>387.8</v>
      </c>
      <c r="R38" s="79">
        <v>387.8</v>
      </c>
      <c r="S38" s="79"/>
      <c r="T38" s="79"/>
      <c r="U38" s="79">
        <f>R38-S38+T38</f>
        <v>387.8</v>
      </c>
      <c r="V38">
        <f>115+272.8</f>
        <v>387.8</v>
      </c>
      <c r="W38">
        <f>272.8+115</f>
        <v>387.8</v>
      </c>
    </row>
    <row r="39" spans="1:23" x14ac:dyDescent="0.35">
      <c r="G39" s="86"/>
      <c r="J39" s="79">
        <v>448.4</v>
      </c>
      <c r="K39" s="79">
        <f>190.7+139.1</f>
        <v>329.79999999999995</v>
      </c>
      <c r="L39" s="79">
        <f>219.3+50.4</f>
        <v>269.7</v>
      </c>
      <c r="M39" s="79">
        <f>J39-K39+L39</f>
        <v>388.3</v>
      </c>
      <c r="N39" s="79">
        <v>388.3</v>
      </c>
      <c r="O39" s="79"/>
      <c r="P39" s="79"/>
      <c r="Q39" s="79">
        <f>N39-O39+P39</f>
        <v>388.3</v>
      </c>
      <c r="R39" s="79">
        <v>388.3</v>
      </c>
      <c r="S39" s="79"/>
      <c r="T39" s="79"/>
      <c r="U39" s="79">
        <f>R39-S39+T39</f>
        <v>388.3</v>
      </c>
      <c r="V39">
        <f>115+274.4</f>
        <v>389.4</v>
      </c>
      <c r="W39">
        <f>219.3+50.4+115</f>
        <v>384.7</v>
      </c>
    </row>
    <row r="40" spans="1:23" x14ac:dyDescent="0.35">
      <c r="A40" s="83">
        <v>43266</v>
      </c>
    </row>
    <row r="41" spans="1:23" ht="27.75" customHeight="1" x14ac:dyDescent="0.35">
      <c r="A41" s="93" t="s">
        <v>103</v>
      </c>
      <c r="B41" s="93" t="s">
        <v>178</v>
      </c>
      <c r="C41" s="93" t="s">
        <v>179</v>
      </c>
      <c r="D41" s="89" t="s">
        <v>180</v>
      </c>
      <c r="E41" s="93" t="s">
        <v>181</v>
      </c>
    </row>
    <row r="42" spans="1:23" x14ac:dyDescent="0.35">
      <c r="A42" s="93">
        <v>3</v>
      </c>
      <c r="B42" s="93">
        <f>13+6</f>
        <v>19</v>
      </c>
      <c r="C42" s="93">
        <f>36.8+139.1+114</f>
        <v>289.89999999999998</v>
      </c>
      <c r="D42" s="93">
        <f>C42-B42</f>
        <v>270.89999999999998</v>
      </c>
      <c r="E42" s="93">
        <v>301</v>
      </c>
    </row>
    <row r="43" spans="1:23" x14ac:dyDescent="0.35">
      <c r="A43" s="93">
        <v>1</v>
      </c>
      <c r="B43" s="93">
        <f>27+19</f>
        <v>46</v>
      </c>
      <c r="C43" s="93">
        <v>377.6</v>
      </c>
      <c r="D43" s="93">
        <f>C43-B43</f>
        <v>331.6</v>
      </c>
      <c r="E43" s="93">
        <v>431.4</v>
      </c>
    </row>
    <row r="44" spans="1:23" x14ac:dyDescent="0.35">
      <c r="A44" s="93" t="s">
        <v>182</v>
      </c>
      <c r="B44" s="93">
        <f>10+1+38+12+1</f>
        <v>62</v>
      </c>
      <c r="C44" s="93">
        <v>810.2</v>
      </c>
      <c r="D44" s="93">
        <f>C44-B44</f>
        <v>748.2</v>
      </c>
      <c r="E44" s="93">
        <v>802.4</v>
      </c>
    </row>
    <row r="45" spans="1:23" x14ac:dyDescent="0.35">
      <c r="A45" s="93">
        <v>2</v>
      </c>
      <c r="B45" s="93">
        <f>17+29+4+1</f>
        <v>51</v>
      </c>
      <c r="C45" s="93">
        <f>42.6+115+272.8</f>
        <v>430.4</v>
      </c>
      <c r="D45" s="93">
        <f>C45-B45</f>
        <v>379.4</v>
      </c>
      <c r="E45" s="93">
        <v>418.1</v>
      </c>
    </row>
    <row r="46" spans="1:23" x14ac:dyDescent="0.35">
      <c r="A46" s="93">
        <v>4</v>
      </c>
      <c r="B46" s="93">
        <v>19</v>
      </c>
      <c r="C46" s="93">
        <f>50.4+219.3+115</f>
        <v>384.7</v>
      </c>
      <c r="D46" s="93">
        <f>C46-B46</f>
        <v>365.7</v>
      </c>
      <c r="E46" s="93">
        <v>401.4</v>
      </c>
    </row>
    <row r="50" spans="1:10" x14ac:dyDescent="0.35">
      <c r="A50" s="228" t="s">
        <v>183</v>
      </c>
      <c r="B50" s="228"/>
      <c r="C50" s="228"/>
      <c r="D50" s="228"/>
      <c r="E50" s="228"/>
      <c r="F50" s="228"/>
      <c r="G50" s="228"/>
      <c r="H50" s="228"/>
      <c r="I50" s="228"/>
    </row>
    <row r="51" spans="1:10" x14ac:dyDescent="0.35">
      <c r="A51" s="83">
        <v>43580</v>
      </c>
      <c r="B51" s="239" t="s">
        <v>184</v>
      </c>
      <c r="C51" s="239"/>
      <c r="D51" s="239"/>
      <c r="E51" s="81"/>
      <c r="F51" s="81"/>
      <c r="G51" s="81"/>
      <c r="H51" s="81"/>
      <c r="I51" s="81"/>
      <c r="J51" s="19"/>
    </row>
    <row r="52" spans="1:10" x14ac:dyDescent="0.35">
      <c r="A52" s="93" t="s">
        <v>103</v>
      </c>
      <c r="B52" s="87">
        <v>43252</v>
      </c>
      <c r="C52" s="88">
        <v>43553</v>
      </c>
      <c r="D52" s="93" t="s">
        <v>185</v>
      </c>
      <c r="E52" s="93" t="s">
        <v>186</v>
      </c>
      <c r="F52" s="93" t="s">
        <v>187</v>
      </c>
      <c r="G52" s="93" t="s">
        <v>188</v>
      </c>
      <c r="H52" s="93" t="s">
        <v>189</v>
      </c>
      <c r="I52" s="79" t="s">
        <v>190</v>
      </c>
    </row>
    <row r="53" spans="1:10" x14ac:dyDescent="0.35">
      <c r="A53" s="93">
        <v>3</v>
      </c>
      <c r="B53" s="93">
        <v>389.9</v>
      </c>
      <c r="C53" s="93">
        <f>293.7+57.8</f>
        <v>351.5</v>
      </c>
      <c r="D53" s="93">
        <f>C53</f>
        <v>351.5</v>
      </c>
      <c r="E53" s="93">
        <f>D53</f>
        <v>351.5</v>
      </c>
      <c r="F53" s="93">
        <f>E53-57.8</f>
        <v>293.7</v>
      </c>
      <c r="G53" s="93">
        <f>F53</f>
        <v>293.7</v>
      </c>
      <c r="H53" s="93">
        <f>G53+30</f>
        <v>323.7</v>
      </c>
      <c r="I53" s="79" t="s">
        <v>191</v>
      </c>
    </row>
    <row r="54" spans="1:10" x14ac:dyDescent="0.35">
      <c r="A54" s="93">
        <v>1</v>
      </c>
      <c r="B54" s="93">
        <v>377.6</v>
      </c>
      <c r="C54" s="93">
        <v>431.3</v>
      </c>
      <c r="D54" s="93">
        <f>C54</f>
        <v>431.3</v>
      </c>
      <c r="E54" s="93">
        <f>D54+143.8</f>
        <v>575.1</v>
      </c>
      <c r="F54" s="93">
        <f>E54+57.8</f>
        <v>632.9</v>
      </c>
      <c r="G54" s="93">
        <f>F54-143.8</f>
        <v>489.09999999999997</v>
      </c>
      <c r="H54" s="93">
        <f>G54</f>
        <v>489.09999999999997</v>
      </c>
      <c r="I54" s="79" t="s">
        <v>192</v>
      </c>
    </row>
    <row r="55" spans="1:10" x14ac:dyDescent="0.35">
      <c r="A55" s="93">
        <v>0</v>
      </c>
      <c r="B55" s="93">
        <v>810.2</v>
      </c>
      <c r="C55" s="93">
        <f>813+143.8</f>
        <v>956.8</v>
      </c>
      <c r="D55" s="93">
        <f>C55</f>
        <v>956.8</v>
      </c>
      <c r="E55" s="93">
        <f>D55-143.8</f>
        <v>813</v>
      </c>
      <c r="F55" s="93">
        <f>E55</f>
        <v>813</v>
      </c>
      <c r="G55" s="93">
        <f>F55</f>
        <v>813</v>
      </c>
      <c r="H55" s="93">
        <f>G55</f>
        <v>813</v>
      </c>
      <c r="I55" s="79" t="s">
        <v>193</v>
      </c>
    </row>
    <row r="56" spans="1:10" x14ac:dyDescent="0.35">
      <c r="A56" s="93">
        <v>2</v>
      </c>
      <c r="B56" s="93">
        <v>387.8</v>
      </c>
      <c r="C56" s="93">
        <f>420.4</f>
        <v>420.4</v>
      </c>
      <c r="D56" s="93">
        <f>C56</f>
        <v>420.4</v>
      </c>
      <c r="E56" s="93">
        <f>D56</f>
        <v>420.4</v>
      </c>
      <c r="F56" s="93">
        <f>E56</f>
        <v>420.4</v>
      </c>
      <c r="G56" s="93">
        <v>417</v>
      </c>
      <c r="H56" s="93">
        <f>G56</f>
        <v>417</v>
      </c>
      <c r="I56" s="79" t="s">
        <v>191</v>
      </c>
    </row>
    <row r="57" spans="1:10" x14ac:dyDescent="0.35">
      <c r="A57" s="93">
        <v>4</v>
      </c>
      <c r="B57" s="93">
        <v>388.3</v>
      </c>
      <c r="C57" s="93">
        <v>417</v>
      </c>
      <c r="D57" s="93">
        <f>C57</f>
        <v>417</v>
      </c>
      <c r="E57" s="93">
        <f>D57</f>
        <v>417</v>
      </c>
      <c r="F57" s="93">
        <f>E57</f>
        <v>417</v>
      </c>
      <c r="G57" s="93">
        <f>F57</f>
        <v>417</v>
      </c>
      <c r="H57" s="93">
        <f>G57</f>
        <v>417</v>
      </c>
      <c r="I57" s="79" t="s">
        <v>191</v>
      </c>
    </row>
    <row r="58" spans="1:10" x14ac:dyDescent="0.35">
      <c r="A58" s="93" t="s">
        <v>194</v>
      </c>
      <c r="B58" s="93">
        <f>SUM(B53:B57)</f>
        <v>2353.8000000000002</v>
      </c>
      <c r="C58" s="93">
        <f>SUM(C53:C57)</f>
        <v>2577</v>
      </c>
      <c r="D58" s="93">
        <f t="shared" ref="D58:G58" si="0">SUM(D53:D57)</f>
        <v>2577</v>
      </c>
      <c r="E58" s="93">
        <f t="shared" si="0"/>
        <v>2577</v>
      </c>
      <c r="F58" s="93">
        <f t="shared" si="0"/>
        <v>2577</v>
      </c>
      <c r="G58" s="93">
        <f t="shared" si="0"/>
        <v>2429.8000000000002</v>
      </c>
      <c r="H58" s="93"/>
      <c r="I58" s="79"/>
    </row>
    <row r="61" spans="1:10" x14ac:dyDescent="0.35">
      <c r="A61" s="228" t="s">
        <v>195</v>
      </c>
      <c r="B61" s="228"/>
      <c r="C61" s="228"/>
      <c r="D61" s="228"/>
      <c r="E61" s="228"/>
      <c r="F61" s="228"/>
      <c r="G61" s="228"/>
      <c r="H61" s="228"/>
      <c r="I61" s="228"/>
    </row>
    <row r="62" spans="1:10" x14ac:dyDescent="0.35">
      <c r="A62" s="83">
        <v>43595</v>
      </c>
      <c r="B62" s="239" t="s">
        <v>184</v>
      </c>
      <c r="C62" s="239"/>
      <c r="D62" s="239"/>
      <c r="E62" s="81"/>
      <c r="F62" s="81"/>
      <c r="G62" s="81"/>
      <c r="H62" s="81"/>
      <c r="I62" s="81"/>
    </row>
    <row r="63" spans="1:10" s="92" customFormat="1" ht="29" x14ac:dyDescent="0.35">
      <c r="A63" s="89" t="s">
        <v>103</v>
      </c>
      <c r="B63" s="90">
        <v>43580</v>
      </c>
      <c r="C63" s="89" t="s">
        <v>178</v>
      </c>
      <c r="D63" s="89" t="s">
        <v>196</v>
      </c>
      <c r="E63" s="89" t="s">
        <v>197</v>
      </c>
      <c r="F63" s="89" t="s">
        <v>198</v>
      </c>
      <c r="G63" s="89"/>
      <c r="H63" s="89"/>
      <c r="I63" s="91"/>
    </row>
    <row r="64" spans="1:10" x14ac:dyDescent="0.35">
      <c r="A64" s="93">
        <v>3</v>
      </c>
      <c r="B64" s="93">
        <v>323.7</v>
      </c>
      <c r="C64" s="93">
        <v>14.9</v>
      </c>
      <c r="D64" s="93" t="s">
        <v>199</v>
      </c>
      <c r="E64" s="79" t="s">
        <v>200</v>
      </c>
      <c r="F64" s="93" t="s">
        <v>201</v>
      </c>
      <c r="G64" s="93"/>
      <c r="H64" s="93"/>
      <c r="I64" s="79"/>
    </row>
    <row r="65" spans="1:9" x14ac:dyDescent="0.35">
      <c r="A65" s="93">
        <v>1</v>
      </c>
      <c r="B65" s="93">
        <v>489.09999999999997</v>
      </c>
      <c r="C65" s="93">
        <v>31.4</v>
      </c>
      <c r="D65" s="93">
        <f>B65-364.1 +332.1</f>
        <v>457.09999999999997</v>
      </c>
      <c r="E65" s="79" t="s">
        <v>202</v>
      </c>
      <c r="F65" s="93"/>
      <c r="G65" s="93"/>
      <c r="H65" s="93"/>
      <c r="I65" s="79"/>
    </row>
    <row r="66" spans="1:9" x14ac:dyDescent="0.35">
      <c r="A66" s="93">
        <v>0</v>
      </c>
      <c r="B66" s="93">
        <v>813</v>
      </c>
      <c r="C66" s="93">
        <v>24.6</v>
      </c>
      <c r="D66" s="93" t="s">
        <v>199</v>
      </c>
      <c r="E66" s="79" t="s">
        <v>203</v>
      </c>
      <c r="F66" s="93" t="s">
        <v>204</v>
      </c>
      <c r="G66" s="93"/>
      <c r="H66" s="93"/>
      <c r="I66" s="79"/>
    </row>
    <row r="67" spans="1:9" x14ac:dyDescent="0.35">
      <c r="A67" s="93">
        <v>2</v>
      </c>
      <c r="B67" s="93">
        <v>417</v>
      </c>
      <c r="C67" s="93">
        <v>38</v>
      </c>
      <c r="D67" s="93">
        <f>B67-270.7+218.5</f>
        <v>364.8</v>
      </c>
      <c r="E67" s="79" t="s">
        <v>205</v>
      </c>
      <c r="F67" s="93"/>
      <c r="G67" s="93"/>
      <c r="H67" s="93"/>
      <c r="I67" s="79"/>
    </row>
    <row r="68" spans="1:9" x14ac:dyDescent="0.35">
      <c r="A68" s="93">
        <v>4</v>
      </c>
      <c r="B68" s="93">
        <v>417</v>
      </c>
      <c r="C68" s="93">
        <v>17</v>
      </c>
      <c r="D68" s="93">
        <f>B68-50.4+32.6</f>
        <v>399.20000000000005</v>
      </c>
      <c r="E68" s="79" t="s">
        <v>206</v>
      </c>
      <c r="F68" s="93" t="s">
        <v>207</v>
      </c>
      <c r="G68" s="93"/>
      <c r="H68" s="93"/>
      <c r="I68" s="79"/>
    </row>
    <row r="69" spans="1:9" x14ac:dyDescent="0.35">
      <c r="A69" s="93" t="s">
        <v>194</v>
      </c>
      <c r="B69" s="93">
        <f>SUM(B64:B68)</f>
        <v>2459.8000000000002</v>
      </c>
      <c r="C69" s="93"/>
      <c r="D69" s="93"/>
      <c r="E69" s="93"/>
      <c r="F69" s="93"/>
      <c r="G69" s="93"/>
      <c r="H69" s="93"/>
      <c r="I69" s="79"/>
    </row>
  </sheetData>
  <mergeCells count="12">
    <mergeCell ref="B5:C5"/>
    <mergeCell ref="B14:C14"/>
    <mergeCell ref="J14:M14"/>
    <mergeCell ref="B23:C23"/>
    <mergeCell ref="B32:C32"/>
    <mergeCell ref="A61:I61"/>
    <mergeCell ref="B62:D62"/>
    <mergeCell ref="N33:Q33"/>
    <mergeCell ref="R33:U33"/>
    <mergeCell ref="B51:D51"/>
    <mergeCell ref="J33:M33"/>
    <mergeCell ref="A50:I5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Readings</vt:lpstr>
      <vt:lpstr>rawdata_for_matlab</vt:lpstr>
      <vt:lpstr>Scales</vt:lpstr>
      <vt:lpstr>trackchanges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Bilal Sharqi</dc:creator>
  <cp:keywords/>
  <dc:description/>
  <cp:lastModifiedBy>Bilal Sharqi</cp:lastModifiedBy>
  <cp:revision/>
  <dcterms:created xsi:type="dcterms:W3CDTF">2019-04-01T18:46:24Z</dcterms:created>
  <dcterms:modified xsi:type="dcterms:W3CDTF">2024-02-12T17:14:38Z</dcterms:modified>
  <cp:category/>
  <cp:contentStatus/>
</cp:coreProperties>
</file>